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2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teve\OneDrive - Pioneer Family Brands\Files\PFB\Sales\OrderForm\"/>
    </mc:Choice>
  </mc:AlternateContent>
  <xr:revisionPtr revIDLastSave="100" documentId="11_59DC83BBD934F8491010E4AE97773FE4603268C7" xr6:coauthVersionLast="32" xr6:coauthVersionMax="32" xr10:uidLastSave="{62816587-2C8B-4478-AE76-434E66CD6674}"/>
  <bookViews>
    <workbookView xWindow="-15" yWindow="-15" windowWidth="14835" windowHeight="11280" xr2:uid="{00000000-000D-0000-FFFF-FFFF00000000}"/>
  </bookViews>
  <sheets>
    <sheet name="Cover" sheetId="6" r:id="rId1"/>
    <sheet name="Tropical Sno" sheetId="4" r:id="rId2"/>
    <sheet name="Swan Parts" sheetId="9" r:id="rId3"/>
    <sheet name="Soft Ice" sheetId="7" r:id="rId4"/>
    <sheet name="SAP" sheetId="10" r:id="rId5"/>
    <sheet name="Data" sheetId="5" r:id="rId6"/>
  </sheets>
  <definedNames>
    <definedName name="_xlnm._FilterDatabase" localSheetId="5" hidden="1">Data!$B$22:$B$29</definedName>
    <definedName name="Additional">Data!$B$32:$B$36</definedName>
    <definedName name="Credit">Data!$B$16:$B$19</definedName>
    <definedName name="More">Data!$B$39:$B$41</definedName>
    <definedName name="Payment">Data!$B$10:$B$13</definedName>
    <definedName name="Price">Data!$B$3:$B$6</definedName>
    <definedName name="Shipping">Data!$B$22:$B$29</definedName>
  </definedNames>
  <calcPr calcId="179017"/>
</workbook>
</file>

<file path=xl/calcChain.xml><?xml version="1.0" encoding="utf-8"?>
<calcChain xmlns="http://schemas.openxmlformats.org/spreadsheetml/2006/main">
  <c r="Q222" i="4" l="1"/>
  <c r="Q221" i="4"/>
  <c r="Q220" i="4"/>
  <c r="Q219" i="4"/>
  <c r="O222" i="4"/>
  <c r="O221" i="4"/>
  <c r="O220" i="4"/>
  <c r="O219" i="4"/>
  <c r="J222" i="4"/>
  <c r="J221" i="4"/>
  <c r="J220" i="4"/>
  <c r="J219" i="4"/>
  <c r="K222" i="4"/>
  <c r="K221" i="4"/>
  <c r="K220" i="4"/>
  <c r="K219" i="4"/>
  <c r="C196" i="10"/>
  <c r="B196" i="10"/>
  <c r="C195" i="10"/>
  <c r="B195" i="10"/>
  <c r="P196" i="4"/>
  <c r="Q196" i="4" s="1"/>
  <c r="O196" i="4"/>
  <c r="N196" i="4"/>
  <c r="K196" i="4"/>
  <c r="J196" i="4"/>
  <c r="G196" i="4"/>
  <c r="O195" i="4"/>
  <c r="N195" i="4"/>
  <c r="K195" i="4" s="1"/>
  <c r="J195" i="4"/>
  <c r="G195" i="4"/>
  <c r="N105" i="4"/>
  <c r="K105" i="4"/>
  <c r="P195" i="4" l="1"/>
  <c r="Q195" i="4" s="1"/>
  <c r="N64" i="9"/>
  <c r="P64" i="9" s="1"/>
  <c r="Q64" i="9" s="1"/>
  <c r="K64" i="9"/>
  <c r="J64" i="9"/>
  <c r="F95" i="10"/>
  <c r="E95" i="10"/>
  <c r="F94" i="10"/>
  <c r="E94" i="10"/>
  <c r="F92" i="10"/>
  <c r="E92" i="10"/>
  <c r="F91" i="10"/>
  <c r="E91" i="10"/>
  <c r="F90" i="10"/>
  <c r="E90" i="10"/>
  <c r="F89" i="10"/>
  <c r="E89" i="10"/>
  <c r="F88" i="10"/>
  <c r="E88" i="10"/>
  <c r="F87" i="10"/>
  <c r="E87" i="10"/>
  <c r="F86" i="10"/>
  <c r="E86" i="10"/>
  <c r="F85" i="10"/>
  <c r="E85" i="10"/>
  <c r="F84" i="10"/>
  <c r="E84" i="10"/>
  <c r="F83" i="10"/>
  <c r="E83" i="10"/>
  <c r="F82" i="10"/>
  <c r="E82" i="10"/>
  <c r="F81" i="10"/>
  <c r="E81" i="10"/>
  <c r="F80" i="10"/>
  <c r="E80" i="10"/>
  <c r="F79" i="10"/>
  <c r="E79" i="10"/>
  <c r="F78" i="10"/>
  <c r="E78" i="10"/>
  <c r="F76" i="10"/>
  <c r="E76" i="10"/>
  <c r="F75" i="10"/>
  <c r="E75" i="10"/>
  <c r="F74" i="10"/>
  <c r="E74" i="10"/>
  <c r="F73" i="10"/>
  <c r="E73" i="10"/>
  <c r="F72" i="10"/>
  <c r="E72" i="10"/>
  <c r="F71" i="10"/>
  <c r="E71" i="10"/>
  <c r="F70" i="10"/>
  <c r="E70" i="10"/>
  <c r="F69" i="10"/>
  <c r="E69" i="10"/>
  <c r="F68" i="10"/>
  <c r="E68" i="10"/>
  <c r="F67" i="10"/>
  <c r="E67" i="10"/>
  <c r="F66" i="10"/>
  <c r="E66" i="10"/>
  <c r="F65" i="10"/>
  <c r="E65" i="10"/>
  <c r="F64" i="10"/>
  <c r="E64" i="10"/>
  <c r="G64" i="9"/>
  <c r="O64" i="9" l="1"/>
  <c r="C222" i="10"/>
  <c r="B222" i="10"/>
  <c r="C221" i="10"/>
  <c r="B221" i="10"/>
  <c r="C220" i="10"/>
  <c r="B220" i="10"/>
  <c r="N222" i="4"/>
  <c r="P222" i="4" s="1"/>
  <c r="N221" i="4"/>
  <c r="P221" i="4" s="1"/>
  <c r="N220" i="4"/>
  <c r="P220" i="4" s="1"/>
  <c r="I48" i="10" l="1"/>
  <c r="H48" i="10"/>
  <c r="I47" i="10"/>
  <c r="H47" i="10"/>
  <c r="I45" i="10"/>
  <c r="H45" i="10"/>
  <c r="I44" i="10"/>
  <c r="H44" i="10"/>
  <c r="I43" i="10"/>
  <c r="H43" i="10"/>
  <c r="I42" i="10"/>
  <c r="H42" i="10"/>
  <c r="I41" i="10"/>
  <c r="H41" i="10"/>
  <c r="I40" i="10"/>
  <c r="H40" i="10"/>
  <c r="I38" i="10"/>
  <c r="H38" i="10"/>
  <c r="I37" i="10"/>
  <c r="H37" i="10"/>
  <c r="I36" i="10"/>
  <c r="H36" i="10"/>
  <c r="I35" i="10"/>
  <c r="H35" i="10"/>
  <c r="I34" i="10"/>
  <c r="H34" i="10"/>
  <c r="I33" i="10"/>
  <c r="H33" i="10"/>
  <c r="I32" i="10"/>
  <c r="H32" i="10"/>
  <c r="I31" i="10"/>
  <c r="H31" i="10"/>
  <c r="I29" i="10"/>
  <c r="H29" i="10"/>
  <c r="I28" i="10"/>
  <c r="H28" i="10"/>
  <c r="I27" i="10"/>
  <c r="H27" i="10"/>
  <c r="I26" i="10"/>
  <c r="H26" i="10"/>
  <c r="I25" i="10"/>
  <c r="H25" i="10"/>
  <c r="I24" i="10"/>
  <c r="H24" i="10"/>
  <c r="I23" i="10"/>
  <c r="H23" i="10"/>
  <c r="I21" i="10"/>
  <c r="H21" i="10"/>
  <c r="I20" i="10"/>
  <c r="H20" i="10"/>
  <c r="I19" i="10"/>
  <c r="H19" i="10"/>
  <c r="I18" i="10"/>
  <c r="H18" i="10"/>
  <c r="I16" i="10"/>
  <c r="H16" i="10"/>
  <c r="I15" i="10"/>
  <c r="H15" i="10"/>
  <c r="I14" i="10"/>
  <c r="H14" i="10"/>
  <c r="I13" i="10"/>
  <c r="H13" i="10"/>
  <c r="I12" i="10"/>
  <c r="H12" i="10"/>
  <c r="I11" i="10"/>
  <c r="H11" i="10"/>
  <c r="I10" i="10"/>
  <c r="H10" i="10"/>
  <c r="I9" i="10"/>
  <c r="H9" i="10"/>
  <c r="C232" i="10" l="1"/>
  <c r="B232" i="10"/>
  <c r="C231" i="10"/>
  <c r="B231" i="10"/>
  <c r="C230" i="10"/>
  <c r="B230" i="10"/>
  <c r="C229" i="10"/>
  <c r="B229" i="10"/>
  <c r="C228" i="10"/>
  <c r="B228" i="10"/>
  <c r="C227" i="10"/>
  <c r="B227" i="10"/>
  <c r="C226" i="10"/>
  <c r="B226" i="10"/>
  <c r="C225" i="10"/>
  <c r="B225" i="10"/>
  <c r="C223" i="10"/>
  <c r="B223" i="10"/>
  <c r="C219" i="10"/>
  <c r="B219" i="10"/>
  <c r="C218" i="10"/>
  <c r="B218" i="10"/>
  <c r="C217" i="10"/>
  <c r="B217" i="10"/>
  <c r="C216" i="10"/>
  <c r="B216" i="10"/>
  <c r="C215" i="10"/>
  <c r="B215" i="10"/>
  <c r="C213" i="10"/>
  <c r="B213" i="10"/>
  <c r="C212" i="10"/>
  <c r="B212" i="10"/>
  <c r="C211" i="10"/>
  <c r="B211" i="10"/>
  <c r="C210" i="10"/>
  <c r="B210" i="10"/>
  <c r="C209" i="10"/>
  <c r="B209" i="10"/>
  <c r="C208" i="10"/>
  <c r="B208" i="10"/>
  <c r="C207" i="10"/>
  <c r="B207" i="10"/>
  <c r="C206" i="10"/>
  <c r="B206" i="10"/>
  <c r="C205" i="10"/>
  <c r="B205" i="10"/>
  <c r="C204" i="10"/>
  <c r="B204" i="10"/>
  <c r="C203" i="10"/>
  <c r="B203" i="10"/>
  <c r="C202" i="10"/>
  <c r="B202" i="10"/>
  <c r="C201" i="10"/>
  <c r="B201" i="10"/>
  <c r="C200" i="10"/>
  <c r="B200" i="10"/>
  <c r="C199" i="10"/>
  <c r="B199" i="10"/>
  <c r="C198" i="10"/>
  <c r="B198" i="10"/>
  <c r="C197" i="10"/>
  <c r="B197" i="10"/>
  <c r="C194" i="10"/>
  <c r="B194" i="10"/>
  <c r="C193" i="10"/>
  <c r="B193" i="10"/>
  <c r="C192" i="10"/>
  <c r="B192" i="10"/>
  <c r="C190" i="10"/>
  <c r="B190" i="10"/>
  <c r="C189" i="10"/>
  <c r="B189" i="10"/>
  <c r="C188" i="10"/>
  <c r="B188" i="10"/>
  <c r="C187" i="10"/>
  <c r="B187" i="10"/>
  <c r="C186" i="10"/>
  <c r="B186" i="10"/>
  <c r="C185" i="10"/>
  <c r="B185" i="10"/>
  <c r="C184" i="10"/>
  <c r="B184" i="10"/>
  <c r="C183" i="10"/>
  <c r="B183" i="10"/>
  <c r="C182" i="10"/>
  <c r="B182" i="10"/>
  <c r="C181" i="10"/>
  <c r="B181" i="10"/>
  <c r="C180" i="10"/>
  <c r="B180" i="10"/>
  <c r="C179" i="10"/>
  <c r="B179" i="10"/>
  <c r="C178" i="10"/>
  <c r="B178" i="10"/>
  <c r="C177" i="10"/>
  <c r="B177" i="10"/>
  <c r="C176" i="10"/>
  <c r="B176" i="10"/>
  <c r="C175" i="10"/>
  <c r="B175" i="10"/>
  <c r="C174" i="10"/>
  <c r="B174" i="10"/>
  <c r="C173" i="10"/>
  <c r="B173" i="10"/>
  <c r="C172" i="10"/>
  <c r="B172" i="10"/>
  <c r="C171" i="10"/>
  <c r="B171" i="10"/>
  <c r="C170" i="10"/>
  <c r="B170" i="10"/>
  <c r="C169" i="10"/>
  <c r="B169" i="10"/>
  <c r="C168" i="10"/>
  <c r="B168" i="10"/>
  <c r="C167" i="10"/>
  <c r="B167" i="10"/>
  <c r="C166" i="10"/>
  <c r="B166" i="10"/>
  <c r="C165" i="10"/>
  <c r="B165" i="10"/>
  <c r="C164" i="10"/>
  <c r="B164" i="10"/>
  <c r="C163" i="10"/>
  <c r="B163" i="10"/>
  <c r="C162" i="10"/>
  <c r="B162" i="10"/>
  <c r="C161" i="10"/>
  <c r="B161" i="10"/>
  <c r="C160" i="10"/>
  <c r="B160" i="10"/>
  <c r="C159" i="10"/>
  <c r="B159" i="10"/>
  <c r="C158" i="10"/>
  <c r="B158" i="10"/>
  <c r="C157" i="10"/>
  <c r="B157" i="10"/>
  <c r="C156" i="10"/>
  <c r="B156" i="10"/>
  <c r="C155" i="10"/>
  <c r="B155" i="10"/>
  <c r="C154" i="10"/>
  <c r="B154" i="10"/>
  <c r="C153" i="10"/>
  <c r="B153" i="10"/>
  <c r="C152" i="10"/>
  <c r="B152" i="10"/>
  <c r="C151" i="10"/>
  <c r="B151" i="10"/>
  <c r="C150" i="10"/>
  <c r="B150" i="10"/>
  <c r="C149" i="10"/>
  <c r="B149" i="10"/>
  <c r="C148" i="10"/>
  <c r="B148" i="10"/>
  <c r="C147" i="10"/>
  <c r="B147" i="10"/>
  <c r="C146" i="10"/>
  <c r="B146" i="10"/>
  <c r="C145" i="10"/>
  <c r="B145" i="10"/>
  <c r="C144" i="10"/>
  <c r="B144" i="10"/>
  <c r="C143" i="10"/>
  <c r="B143" i="10"/>
  <c r="C142" i="10"/>
  <c r="B142" i="10"/>
  <c r="C141" i="10"/>
  <c r="B141" i="10"/>
  <c r="C140" i="10"/>
  <c r="B140" i="10"/>
  <c r="C139" i="10"/>
  <c r="B139" i="10"/>
  <c r="C138" i="10"/>
  <c r="B138" i="10"/>
  <c r="C137" i="10"/>
  <c r="B137" i="10"/>
  <c r="C136" i="10"/>
  <c r="B136" i="10"/>
  <c r="C135" i="10"/>
  <c r="B135" i="10"/>
  <c r="C134" i="10"/>
  <c r="B134" i="10"/>
  <c r="C133" i="10"/>
  <c r="B133" i="10"/>
  <c r="C132" i="10"/>
  <c r="B132" i="10"/>
  <c r="C131" i="10"/>
  <c r="B131" i="10"/>
  <c r="C130" i="10"/>
  <c r="B130" i="10"/>
  <c r="C129" i="10"/>
  <c r="B129" i="10"/>
  <c r="C128" i="10"/>
  <c r="B128" i="10"/>
  <c r="C127" i="10"/>
  <c r="B127" i="10"/>
  <c r="C125" i="10"/>
  <c r="B125" i="10"/>
  <c r="C124" i="10"/>
  <c r="B124" i="10"/>
  <c r="C123" i="10"/>
  <c r="B123" i="10"/>
  <c r="C122" i="10"/>
  <c r="B122" i="10"/>
  <c r="C121" i="10"/>
  <c r="B121" i="10"/>
  <c r="C120" i="10"/>
  <c r="B120" i="10"/>
  <c r="C119" i="10"/>
  <c r="B119" i="10"/>
  <c r="C118" i="10"/>
  <c r="B118" i="10"/>
  <c r="C117" i="10"/>
  <c r="B117" i="10"/>
  <c r="C116" i="10"/>
  <c r="B116" i="10"/>
  <c r="C115" i="10"/>
  <c r="B115" i="10"/>
  <c r="N189" i="4" l="1"/>
  <c r="P189" i="4" s="1"/>
  <c r="Q189" i="4" s="1"/>
  <c r="N188" i="4"/>
  <c r="P188" i="4" s="1"/>
  <c r="Q188" i="4" s="1"/>
  <c r="N187" i="4"/>
  <c r="O187" i="4" s="1"/>
  <c r="N186" i="4"/>
  <c r="O186" i="4" s="1"/>
  <c r="N185" i="4"/>
  <c r="P185" i="4" s="1"/>
  <c r="Q185" i="4" s="1"/>
  <c r="N184" i="4"/>
  <c r="P184" i="4" s="1"/>
  <c r="Q184" i="4" s="1"/>
  <c r="N183" i="4"/>
  <c r="O183" i="4" s="1"/>
  <c r="N182" i="4"/>
  <c r="P182" i="4" s="1"/>
  <c r="Q182" i="4" s="1"/>
  <c r="K189" i="4"/>
  <c r="J189" i="4"/>
  <c r="G189" i="4"/>
  <c r="J188" i="4"/>
  <c r="G188" i="4"/>
  <c r="J187" i="4"/>
  <c r="G187" i="4"/>
  <c r="J186" i="4"/>
  <c r="G186" i="4"/>
  <c r="J185" i="4"/>
  <c r="G185" i="4"/>
  <c r="J184" i="4"/>
  <c r="G184" i="4"/>
  <c r="J183" i="4"/>
  <c r="G183" i="4"/>
  <c r="J182" i="4"/>
  <c r="G182" i="4"/>
  <c r="C224" i="4"/>
  <c r="C233" i="4"/>
  <c r="C34" i="4"/>
  <c r="C51" i="4"/>
  <c r="C59" i="4"/>
  <c r="C67" i="4"/>
  <c r="C74" i="4"/>
  <c r="C90" i="4"/>
  <c r="C107" i="4"/>
  <c r="C126" i="4"/>
  <c r="C191" i="4"/>
  <c r="C214" i="4"/>
  <c r="G178" i="4"/>
  <c r="G177" i="4"/>
  <c r="G176" i="4"/>
  <c r="G175" i="4"/>
  <c r="G174" i="4"/>
  <c r="G173" i="4"/>
  <c r="G172" i="4"/>
  <c r="G171" i="4"/>
  <c r="G170" i="4"/>
  <c r="G169" i="4"/>
  <c r="N178" i="4"/>
  <c r="P178" i="4" s="1"/>
  <c r="Q178" i="4" s="1"/>
  <c r="N177" i="4"/>
  <c r="P177" i="4" s="1"/>
  <c r="Q177" i="4" s="1"/>
  <c r="N176" i="4"/>
  <c r="P176" i="4" s="1"/>
  <c r="Q176" i="4" s="1"/>
  <c r="N175" i="4"/>
  <c r="P175" i="4" s="1"/>
  <c r="Q175" i="4" s="1"/>
  <c r="N174" i="4"/>
  <c r="P174" i="4" s="1"/>
  <c r="Q174" i="4" s="1"/>
  <c r="N173" i="4"/>
  <c r="P173" i="4" s="1"/>
  <c r="Q173" i="4" s="1"/>
  <c r="N172" i="4"/>
  <c r="P172" i="4" s="1"/>
  <c r="Q172" i="4" s="1"/>
  <c r="N171" i="4"/>
  <c r="P171" i="4" s="1"/>
  <c r="Q171" i="4" s="1"/>
  <c r="N170" i="4"/>
  <c r="P170" i="4" s="1"/>
  <c r="Q170" i="4" s="1"/>
  <c r="N169" i="4"/>
  <c r="P169" i="4" s="1"/>
  <c r="Q169" i="4" s="1"/>
  <c r="J178" i="4"/>
  <c r="J177" i="4"/>
  <c r="J176" i="4"/>
  <c r="J175" i="4"/>
  <c r="J174" i="4"/>
  <c r="J173" i="4"/>
  <c r="J172" i="4"/>
  <c r="J171" i="4"/>
  <c r="J170" i="4"/>
  <c r="J169" i="4"/>
  <c r="G181" i="4"/>
  <c r="G180" i="4"/>
  <c r="G179" i="4"/>
  <c r="N168" i="4"/>
  <c r="O168" i="4" s="1"/>
  <c r="J168" i="4"/>
  <c r="G168" i="4"/>
  <c r="B233" i="10" l="1"/>
  <c r="C233" i="10"/>
  <c r="C224" i="10"/>
  <c r="B224" i="10"/>
  <c r="C191" i="10"/>
  <c r="B191" i="10"/>
  <c r="C214" i="10"/>
  <c r="B214" i="10"/>
  <c r="B126" i="10"/>
  <c r="C126" i="10"/>
  <c r="P186" i="4"/>
  <c r="Q186" i="4" s="1"/>
  <c r="O184" i="4"/>
  <c r="O188" i="4"/>
  <c r="O182" i="4"/>
  <c r="O185" i="4"/>
  <c r="O189" i="4"/>
  <c r="P183" i="4"/>
  <c r="Q183" i="4" s="1"/>
  <c r="P187" i="4"/>
  <c r="Q187" i="4" s="1"/>
  <c r="O169" i="4"/>
  <c r="O170" i="4"/>
  <c r="O171" i="4"/>
  <c r="O172" i="4"/>
  <c r="O173" i="4"/>
  <c r="O174" i="4"/>
  <c r="O175" i="4"/>
  <c r="O176" i="4"/>
  <c r="O177" i="4"/>
  <c r="O178" i="4"/>
  <c r="P168" i="4"/>
  <c r="Q168" i="4" s="1"/>
  <c r="C114" i="10" l="1"/>
  <c r="B114" i="10"/>
  <c r="C113" i="10"/>
  <c r="B113" i="10"/>
  <c r="C112" i="10"/>
  <c r="B112" i="10"/>
  <c r="C111" i="10"/>
  <c r="B111" i="10"/>
  <c r="C110" i="10"/>
  <c r="B110" i="10"/>
  <c r="C109" i="10"/>
  <c r="B109" i="10"/>
  <c r="C108" i="10"/>
  <c r="B108" i="10"/>
  <c r="C106" i="10"/>
  <c r="B106" i="10"/>
  <c r="C105" i="10"/>
  <c r="B105" i="10"/>
  <c r="C104" i="10"/>
  <c r="B104" i="10"/>
  <c r="C103" i="10"/>
  <c r="B103" i="10"/>
  <c r="C102" i="10"/>
  <c r="B102" i="10"/>
  <c r="C101" i="10"/>
  <c r="B101" i="10"/>
  <c r="C100" i="10"/>
  <c r="B100" i="10"/>
  <c r="C99" i="10"/>
  <c r="B99" i="10"/>
  <c r="C98" i="10"/>
  <c r="B98" i="10"/>
  <c r="C97" i="10"/>
  <c r="B97" i="10"/>
  <c r="C96" i="10"/>
  <c r="B96" i="10"/>
  <c r="C95" i="10"/>
  <c r="B95" i="10"/>
  <c r="C94" i="10"/>
  <c r="B94" i="10"/>
  <c r="C93" i="10"/>
  <c r="B93" i="10"/>
  <c r="C92" i="10"/>
  <c r="B92" i="10"/>
  <c r="C91" i="10"/>
  <c r="B91" i="10"/>
  <c r="C89" i="10"/>
  <c r="B89" i="10"/>
  <c r="C88" i="10"/>
  <c r="B88" i="10"/>
  <c r="C87" i="10"/>
  <c r="B87" i="10"/>
  <c r="C86" i="10"/>
  <c r="B86" i="10"/>
  <c r="C85" i="10"/>
  <c r="B85" i="10"/>
  <c r="C84" i="10"/>
  <c r="B84" i="10"/>
  <c r="C83" i="10"/>
  <c r="B83" i="10"/>
  <c r="C82" i="10"/>
  <c r="B82" i="10"/>
  <c r="C81" i="10"/>
  <c r="B81" i="10"/>
  <c r="C80" i="10"/>
  <c r="B80" i="10"/>
  <c r="C79" i="10"/>
  <c r="B79" i="10"/>
  <c r="C78" i="10"/>
  <c r="B78" i="10"/>
  <c r="C77" i="10"/>
  <c r="B77" i="10"/>
  <c r="C76" i="10"/>
  <c r="B76" i="10"/>
  <c r="C75" i="10"/>
  <c r="B75" i="10"/>
  <c r="C73" i="10"/>
  <c r="B73" i="10"/>
  <c r="C72" i="10"/>
  <c r="B72" i="10"/>
  <c r="C71" i="10"/>
  <c r="B71" i="10"/>
  <c r="C70" i="10"/>
  <c r="B70" i="10"/>
  <c r="C69" i="10"/>
  <c r="B69" i="10"/>
  <c r="C68" i="10"/>
  <c r="B68" i="10"/>
  <c r="C66" i="10"/>
  <c r="B66" i="10"/>
  <c r="C65" i="10"/>
  <c r="B65" i="10"/>
  <c r="C64" i="10"/>
  <c r="B64" i="10"/>
  <c r="C63" i="10"/>
  <c r="B63" i="10"/>
  <c r="C62" i="10"/>
  <c r="B62" i="10"/>
  <c r="C61" i="10"/>
  <c r="B61" i="10"/>
  <c r="C60" i="10"/>
  <c r="B60" i="10"/>
  <c r="C58" i="10"/>
  <c r="B58" i="10"/>
  <c r="C57" i="10"/>
  <c r="B57" i="10"/>
  <c r="C56" i="10"/>
  <c r="B56" i="10"/>
  <c r="C55" i="10"/>
  <c r="B55" i="10"/>
  <c r="C54" i="10"/>
  <c r="B54" i="10"/>
  <c r="C53" i="10"/>
  <c r="B53" i="10"/>
  <c r="C52" i="10"/>
  <c r="B52" i="10"/>
  <c r="C50" i="10"/>
  <c r="B50" i="10"/>
  <c r="C49" i="10"/>
  <c r="B49" i="10"/>
  <c r="C48" i="10"/>
  <c r="B48" i="10"/>
  <c r="C47" i="10"/>
  <c r="B47" i="10"/>
  <c r="C46" i="10"/>
  <c r="B46" i="10"/>
  <c r="C45" i="10"/>
  <c r="B45" i="10"/>
  <c r="C44" i="10"/>
  <c r="B44" i="10"/>
  <c r="C43" i="10"/>
  <c r="B43" i="10"/>
  <c r="C42" i="10"/>
  <c r="B42" i="10"/>
  <c r="C41" i="10"/>
  <c r="B41" i="10"/>
  <c r="C40" i="10"/>
  <c r="B40" i="10"/>
  <c r="C39" i="10"/>
  <c r="B39" i="10"/>
  <c r="C38" i="10"/>
  <c r="B38" i="10"/>
  <c r="C37" i="10"/>
  <c r="B37" i="10"/>
  <c r="C36" i="10"/>
  <c r="B36" i="10"/>
  <c r="C35" i="10"/>
  <c r="B35" i="10"/>
  <c r="C33" i="10"/>
  <c r="B33" i="10"/>
  <c r="C32" i="10"/>
  <c r="B32" i="10"/>
  <c r="C31" i="10"/>
  <c r="B31" i="10"/>
  <c r="C30" i="10"/>
  <c r="B30" i="10"/>
  <c r="C29" i="10"/>
  <c r="B29" i="10"/>
  <c r="C28" i="10"/>
  <c r="B28" i="10"/>
  <c r="C27" i="10"/>
  <c r="B27" i="10"/>
  <c r="C26" i="10"/>
  <c r="B26" i="10"/>
  <c r="C25" i="10"/>
  <c r="B25" i="10"/>
  <c r="C24" i="10"/>
  <c r="B24" i="10"/>
  <c r="C23" i="10"/>
  <c r="B23" i="10"/>
  <c r="C22" i="10"/>
  <c r="B22" i="10"/>
  <c r="C21" i="10"/>
  <c r="B21" i="10"/>
  <c r="C20" i="10"/>
  <c r="B20" i="10"/>
  <c r="C19" i="10"/>
  <c r="B19" i="10"/>
  <c r="C18" i="10"/>
  <c r="B18" i="10"/>
  <c r="C17" i="10"/>
  <c r="B17" i="10"/>
  <c r="C16" i="10"/>
  <c r="B16" i="10"/>
  <c r="C15" i="10"/>
  <c r="B15" i="10"/>
  <c r="C14" i="10"/>
  <c r="B14" i="10"/>
  <c r="C13" i="10"/>
  <c r="B13" i="10"/>
  <c r="C12" i="10"/>
  <c r="B12" i="10"/>
  <c r="C11" i="10"/>
  <c r="B11" i="10"/>
  <c r="C10" i="10"/>
  <c r="B10" i="10"/>
  <c r="C9" i="10"/>
  <c r="B9" i="10"/>
  <c r="C8" i="10"/>
  <c r="B8" i="10"/>
  <c r="F63" i="10"/>
  <c r="E63" i="10"/>
  <c r="F62" i="10"/>
  <c r="E62" i="10"/>
  <c r="F61" i="10"/>
  <c r="E61" i="10"/>
  <c r="F60" i="10"/>
  <c r="E60" i="10"/>
  <c r="F59" i="10"/>
  <c r="E59" i="10"/>
  <c r="F58" i="10"/>
  <c r="E58" i="10"/>
  <c r="F57" i="10"/>
  <c r="E57" i="10"/>
  <c r="F56" i="10"/>
  <c r="E56" i="10"/>
  <c r="F55" i="10"/>
  <c r="E55" i="10"/>
  <c r="F54" i="10"/>
  <c r="E54" i="10"/>
  <c r="F53" i="10"/>
  <c r="E53" i="10"/>
  <c r="F52" i="10"/>
  <c r="E52" i="10"/>
  <c r="F51" i="10"/>
  <c r="E51" i="10"/>
  <c r="F50" i="10"/>
  <c r="E50" i="10"/>
  <c r="F49" i="10"/>
  <c r="E49" i="10"/>
  <c r="F48" i="10"/>
  <c r="E48" i="10"/>
  <c r="F47" i="10"/>
  <c r="E47" i="10"/>
  <c r="F46" i="10"/>
  <c r="E46" i="10"/>
  <c r="F45" i="10"/>
  <c r="E45" i="10"/>
  <c r="F44" i="10"/>
  <c r="E44" i="10"/>
  <c r="F43" i="10"/>
  <c r="E43" i="10"/>
  <c r="F42" i="10"/>
  <c r="E42" i="10"/>
  <c r="F41" i="10"/>
  <c r="E41" i="10"/>
  <c r="F40" i="10"/>
  <c r="E40" i="10"/>
  <c r="F39" i="10"/>
  <c r="E39" i="10"/>
  <c r="F38" i="10"/>
  <c r="E38" i="10"/>
  <c r="F37" i="10"/>
  <c r="E37" i="10"/>
  <c r="F36" i="10"/>
  <c r="E36" i="10"/>
  <c r="F35" i="10"/>
  <c r="E35" i="10"/>
  <c r="N129" i="4"/>
  <c r="O129" i="4" s="1"/>
  <c r="K129" i="4"/>
  <c r="J129" i="4"/>
  <c r="G129" i="4"/>
  <c r="N118" i="4"/>
  <c r="O118" i="4" s="1"/>
  <c r="N117" i="4"/>
  <c r="P117" i="4" s="1"/>
  <c r="Q117" i="4" s="1"/>
  <c r="N116" i="4"/>
  <c r="K116" i="4" s="1"/>
  <c r="J118" i="4"/>
  <c r="G118" i="4"/>
  <c r="O117" i="4"/>
  <c r="J117" i="4"/>
  <c r="G117" i="4"/>
  <c r="J116" i="4"/>
  <c r="G116" i="4"/>
  <c r="K178" i="4"/>
  <c r="N135" i="4"/>
  <c r="P135" i="4" s="1"/>
  <c r="Q135" i="4" s="1"/>
  <c r="K135" i="4"/>
  <c r="J135" i="4"/>
  <c r="G135" i="4"/>
  <c r="N134" i="4"/>
  <c r="P134" i="4" s="1"/>
  <c r="Q134" i="4" s="1"/>
  <c r="K134" i="4"/>
  <c r="J134" i="4"/>
  <c r="G134" i="4"/>
  <c r="N133" i="4"/>
  <c r="O133" i="4" s="1"/>
  <c r="K133" i="4"/>
  <c r="J133" i="4"/>
  <c r="G133" i="4"/>
  <c r="N207" i="4"/>
  <c r="P207" i="4" s="1"/>
  <c r="Q207" i="4" s="1"/>
  <c r="J207" i="4"/>
  <c r="G207" i="4"/>
  <c r="N206" i="4"/>
  <c r="P206" i="4" s="1"/>
  <c r="Q206" i="4" s="1"/>
  <c r="J206" i="4"/>
  <c r="G206" i="4"/>
  <c r="N205" i="4"/>
  <c r="O205" i="4" s="1"/>
  <c r="J205" i="4"/>
  <c r="G205" i="4"/>
  <c r="N204" i="4"/>
  <c r="O204" i="4" s="1"/>
  <c r="J204" i="4"/>
  <c r="G204" i="4"/>
  <c r="N203" i="4"/>
  <c r="K203" i="4" s="1"/>
  <c r="J203" i="4"/>
  <c r="G203" i="4"/>
  <c r="N202" i="4"/>
  <c r="O202" i="4" s="1"/>
  <c r="J202" i="4"/>
  <c r="G202" i="4"/>
  <c r="N201" i="4"/>
  <c r="K201" i="4" s="1"/>
  <c r="J201" i="4"/>
  <c r="G201" i="4"/>
  <c r="N200" i="4"/>
  <c r="K200" i="4" s="1"/>
  <c r="J200" i="4"/>
  <c r="G200" i="4"/>
  <c r="N199" i="4"/>
  <c r="P199" i="4" s="1"/>
  <c r="Q199" i="4" s="1"/>
  <c r="J199" i="4"/>
  <c r="G199" i="4"/>
  <c r="N198" i="4"/>
  <c r="P198" i="4" s="1"/>
  <c r="Q198" i="4" s="1"/>
  <c r="J198" i="4"/>
  <c r="G198" i="4"/>
  <c r="N49" i="4"/>
  <c r="N48" i="4"/>
  <c r="N47" i="4"/>
  <c r="N46" i="4"/>
  <c r="N45" i="4"/>
  <c r="N44" i="4"/>
  <c r="N43" i="4"/>
  <c r="N42" i="4"/>
  <c r="N41" i="4"/>
  <c r="N40" i="4"/>
  <c r="N39" i="4"/>
  <c r="N38" i="4"/>
  <c r="N37" i="4"/>
  <c r="N32" i="4"/>
  <c r="N31" i="4"/>
  <c r="N30" i="4"/>
  <c r="N29" i="4"/>
  <c r="N28" i="4"/>
  <c r="N27" i="4"/>
  <c r="N26" i="4"/>
  <c r="N25" i="4"/>
  <c r="N24" i="4"/>
  <c r="N23" i="4"/>
  <c r="N22" i="4"/>
  <c r="N21" i="4"/>
  <c r="N20" i="4"/>
  <c r="N19" i="4"/>
  <c r="N18" i="4"/>
  <c r="N17" i="4"/>
  <c r="N16" i="4"/>
  <c r="N15" i="4"/>
  <c r="N14" i="4"/>
  <c r="N13" i="4"/>
  <c r="N12" i="4"/>
  <c r="N11" i="4"/>
  <c r="N10" i="4"/>
  <c r="N9" i="4"/>
  <c r="N8" i="4"/>
  <c r="N7" i="4"/>
  <c r="N6" i="4"/>
  <c r="P129" i="4" l="1"/>
  <c r="Q129" i="4" s="1"/>
  <c r="K117" i="4"/>
  <c r="P116" i="4"/>
  <c r="Q116" i="4" s="1"/>
  <c r="K118" i="4"/>
  <c r="P118" i="4"/>
  <c r="Q118" i="4" s="1"/>
  <c r="O116" i="4"/>
  <c r="K198" i="4"/>
  <c r="K199" i="4"/>
  <c r="K207" i="4"/>
  <c r="K202" i="4"/>
  <c r="K204" i="4"/>
  <c r="K205" i="4"/>
  <c r="P202" i="4"/>
  <c r="Q202" i="4" s="1"/>
  <c r="P133" i="4"/>
  <c r="Q133" i="4" s="1"/>
  <c r="O135" i="4"/>
  <c r="O134" i="4"/>
  <c r="O203" i="4"/>
  <c r="O198" i="4"/>
  <c r="O201" i="4"/>
  <c r="P203" i="4"/>
  <c r="Q203" i="4" s="1"/>
  <c r="P201" i="4"/>
  <c r="Q201" i="4" s="1"/>
  <c r="P204" i="4"/>
  <c r="Q204" i="4" s="1"/>
  <c r="O207" i="4"/>
  <c r="O206" i="4"/>
  <c r="P205" i="4"/>
  <c r="Q205" i="4" s="1"/>
  <c r="K206" i="4"/>
  <c r="O199" i="4"/>
  <c r="P200" i="4"/>
  <c r="Q200" i="4" s="1"/>
  <c r="O200" i="4"/>
  <c r="N71" i="4"/>
  <c r="N119" i="4" l="1"/>
  <c r="O119" i="4" s="1"/>
  <c r="K119" i="4"/>
  <c r="J119" i="4"/>
  <c r="G119" i="4"/>
  <c r="K56" i="4"/>
  <c r="K55" i="4"/>
  <c r="K54" i="4"/>
  <c r="P119" i="4" l="1"/>
  <c r="Q119" i="4" s="1"/>
  <c r="N88" i="4" l="1"/>
  <c r="K88" i="4" s="1"/>
  <c r="J88" i="4"/>
  <c r="G88" i="4"/>
  <c r="O88" i="4" l="1"/>
  <c r="P88" i="4"/>
  <c r="Q88" i="4" s="1"/>
  <c r="K124" i="4"/>
  <c r="K123" i="4"/>
  <c r="K122" i="4"/>
  <c r="K121" i="4"/>
  <c r="K120" i="4"/>
  <c r="K85" i="4"/>
  <c r="K84" i="4"/>
  <c r="K83" i="4"/>
  <c r="K82" i="4"/>
  <c r="K81" i="4"/>
  <c r="K77" i="4"/>
  <c r="K37" i="7" l="1"/>
  <c r="K49" i="4"/>
  <c r="K48" i="4"/>
  <c r="K47" i="4"/>
  <c r="K46" i="4"/>
  <c r="K45" i="4"/>
  <c r="K44" i="4"/>
  <c r="K43" i="4"/>
  <c r="K42" i="4"/>
  <c r="K41" i="4"/>
  <c r="K40" i="4"/>
  <c r="K39" i="4"/>
  <c r="K38" i="4"/>
  <c r="K37" i="4"/>
  <c r="K32" i="4"/>
  <c r="K31" i="4"/>
  <c r="K30" i="4"/>
  <c r="K29" i="4"/>
  <c r="K28" i="4"/>
  <c r="K27" i="4"/>
  <c r="K26" i="4"/>
  <c r="K25" i="4"/>
  <c r="K24" i="4"/>
  <c r="K23" i="4"/>
  <c r="K22" i="4"/>
  <c r="K21" i="4"/>
  <c r="K20" i="4"/>
  <c r="K19" i="4"/>
  <c r="K18" i="4"/>
  <c r="K17" i="4"/>
  <c r="K16" i="4"/>
  <c r="K15" i="4"/>
  <c r="K14" i="4"/>
  <c r="K13" i="4"/>
  <c r="K12" i="4"/>
  <c r="K11" i="4"/>
  <c r="K10" i="4"/>
  <c r="K9" i="4"/>
  <c r="K8" i="4"/>
  <c r="K7" i="4"/>
  <c r="K6" i="4"/>
  <c r="I8" i="10" l="1"/>
  <c r="H8" i="10"/>
  <c r="I7" i="10"/>
  <c r="H7" i="10"/>
  <c r="N98" i="4" l="1"/>
  <c r="N97" i="4"/>
  <c r="F34" i="10" l="1"/>
  <c r="E34" i="10"/>
  <c r="F33" i="10"/>
  <c r="E33" i="10"/>
  <c r="F32" i="10"/>
  <c r="E32" i="10"/>
  <c r="F31" i="10"/>
  <c r="E31" i="10"/>
  <c r="F30" i="10"/>
  <c r="E30" i="10"/>
  <c r="F29" i="10"/>
  <c r="E29" i="10"/>
  <c r="F28" i="10"/>
  <c r="E28" i="10"/>
  <c r="F27" i="10"/>
  <c r="E27" i="10"/>
  <c r="F26" i="10"/>
  <c r="E26" i="10"/>
  <c r="F25" i="10"/>
  <c r="E25" i="10"/>
  <c r="F24" i="10"/>
  <c r="E24" i="10"/>
  <c r="F23" i="10"/>
  <c r="E23" i="10"/>
  <c r="F22" i="10"/>
  <c r="E22" i="10"/>
  <c r="F21" i="10"/>
  <c r="E21" i="10"/>
  <c r="F20" i="10"/>
  <c r="E20" i="10"/>
  <c r="F19" i="10"/>
  <c r="E19" i="10"/>
  <c r="F18" i="10"/>
  <c r="E18" i="10"/>
  <c r="F17" i="10"/>
  <c r="E17" i="10"/>
  <c r="F16" i="10"/>
  <c r="E16" i="10"/>
  <c r="F15" i="10"/>
  <c r="E15" i="10"/>
  <c r="F14" i="10"/>
  <c r="E14" i="10"/>
  <c r="F13" i="10"/>
  <c r="E13" i="10"/>
  <c r="F12" i="10"/>
  <c r="E12" i="10"/>
  <c r="F11" i="10"/>
  <c r="E11" i="10"/>
  <c r="F10" i="10"/>
  <c r="E10" i="10"/>
  <c r="F9" i="10"/>
  <c r="E9" i="10"/>
  <c r="N71" i="9" l="1"/>
  <c r="O71" i="9" s="1"/>
  <c r="J71" i="9"/>
  <c r="G71" i="9"/>
  <c r="N34" i="9"/>
  <c r="K34" i="9" s="1"/>
  <c r="J34" i="9"/>
  <c r="G34" i="9"/>
  <c r="N33" i="9"/>
  <c r="P33" i="9" s="1"/>
  <c r="Q33" i="9" s="1"/>
  <c r="J33" i="9"/>
  <c r="G33" i="9"/>
  <c r="P34" i="9" l="1"/>
  <c r="Q34" i="9" s="1"/>
  <c r="O34" i="9"/>
  <c r="K71" i="9"/>
  <c r="P71" i="9"/>
  <c r="Q71" i="9" s="1"/>
  <c r="K33" i="9"/>
  <c r="O33" i="9"/>
  <c r="N12" i="7"/>
  <c r="O12" i="7" s="1"/>
  <c r="K12" i="7"/>
  <c r="J12" i="7"/>
  <c r="G12" i="7"/>
  <c r="P12" i="7" l="1"/>
  <c r="Q12" i="7" s="1"/>
  <c r="N111" i="4"/>
  <c r="J111" i="4"/>
  <c r="G111" i="4"/>
  <c r="P111" i="4" l="1"/>
  <c r="Q111" i="4" s="1"/>
  <c r="K111" i="4"/>
  <c r="O111" i="4"/>
  <c r="N85" i="4"/>
  <c r="N77" i="4" l="1"/>
  <c r="N167" i="4" l="1"/>
  <c r="O167" i="4" s="1"/>
  <c r="J167" i="4"/>
  <c r="G167" i="4"/>
  <c r="N166" i="4"/>
  <c r="O166" i="4" s="1"/>
  <c r="J166" i="4"/>
  <c r="G166" i="4"/>
  <c r="P166" i="4" l="1"/>
  <c r="Q166" i="4" s="1"/>
  <c r="P167" i="4"/>
  <c r="Q167" i="4" s="1"/>
  <c r="N197" i="4"/>
  <c r="J197" i="4"/>
  <c r="G197" i="4"/>
  <c r="P197" i="4" l="1"/>
  <c r="Q197" i="4" s="1"/>
  <c r="K197" i="4"/>
  <c r="O197" i="4"/>
  <c r="N212" i="4" l="1"/>
  <c r="J212" i="4"/>
  <c r="G212" i="4"/>
  <c r="N211" i="4"/>
  <c r="J211" i="4"/>
  <c r="G211" i="4"/>
  <c r="N210" i="4"/>
  <c r="J210" i="4"/>
  <c r="G210" i="4"/>
  <c r="N209" i="4"/>
  <c r="J209" i="4"/>
  <c r="G209" i="4"/>
  <c r="N208" i="4"/>
  <c r="J208" i="4"/>
  <c r="G208" i="4"/>
  <c r="O211" i="4" l="1"/>
  <c r="K211" i="4"/>
  <c r="P210" i="4"/>
  <c r="Q210" i="4" s="1"/>
  <c r="K210" i="4"/>
  <c r="O209" i="4"/>
  <c r="K209" i="4"/>
  <c r="O208" i="4"/>
  <c r="K208" i="4"/>
  <c r="P212" i="4"/>
  <c r="Q212" i="4" s="1"/>
  <c r="K212" i="4"/>
  <c r="O212" i="4"/>
  <c r="P208" i="4"/>
  <c r="Q208" i="4" s="1"/>
  <c r="P209" i="4"/>
  <c r="Q209" i="4" s="1"/>
  <c r="O210" i="4"/>
  <c r="P211" i="4"/>
  <c r="Q211" i="4" s="1"/>
  <c r="N96" i="4" l="1"/>
  <c r="N7" i="7" l="1"/>
  <c r="P7" i="7" s="1"/>
  <c r="Q7" i="7" s="1"/>
  <c r="K7" i="7"/>
  <c r="J7" i="7"/>
  <c r="G7" i="7"/>
  <c r="O7" i="7" l="1"/>
  <c r="N101" i="4"/>
  <c r="P101" i="4" s="1"/>
  <c r="Q101" i="4" s="1"/>
  <c r="K101" i="4"/>
  <c r="J101" i="4"/>
  <c r="G101" i="4"/>
  <c r="O101" i="4" l="1"/>
  <c r="K181" i="4" l="1"/>
  <c r="G110" i="4" l="1"/>
  <c r="G112" i="4"/>
  <c r="N110" i="4" l="1"/>
  <c r="K110" i="4" s="1"/>
  <c r="C7" i="10" l="1"/>
  <c r="B7" i="10"/>
  <c r="N93" i="4" l="1"/>
  <c r="N94" i="4"/>
  <c r="N95" i="4"/>
  <c r="N165" i="4" l="1"/>
  <c r="P165" i="4" s="1"/>
  <c r="Q165" i="4" s="1"/>
  <c r="J165" i="4"/>
  <c r="G165" i="4"/>
  <c r="N164" i="4"/>
  <c r="P164" i="4" s="1"/>
  <c r="Q164" i="4" s="1"/>
  <c r="J164" i="4"/>
  <c r="G164" i="4"/>
  <c r="N163" i="4"/>
  <c r="O163" i="4" s="1"/>
  <c r="J163" i="4"/>
  <c r="G163" i="4"/>
  <c r="N162" i="4"/>
  <c r="P162" i="4" s="1"/>
  <c r="Q162" i="4" s="1"/>
  <c r="J162" i="4"/>
  <c r="G162" i="4"/>
  <c r="N161" i="4"/>
  <c r="O161" i="4" s="1"/>
  <c r="J161" i="4"/>
  <c r="G161" i="4"/>
  <c r="N160" i="4"/>
  <c r="P160" i="4" s="1"/>
  <c r="Q160" i="4" s="1"/>
  <c r="J160" i="4"/>
  <c r="G160" i="4"/>
  <c r="N159" i="4"/>
  <c r="O159" i="4" s="1"/>
  <c r="J159" i="4"/>
  <c r="G159" i="4"/>
  <c r="N158" i="4"/>
  <c r="P158" i="4" s="1"/>
  <c r="Q158" i="4" s="1"/>
  <c r="J158" i="4"/>
  <c r="G158" i="4"/>
  <c r="N157" i="4"/>
  <c r="O157" i="4" s="1"/>
  <c r="J157" i="4"/>
  <c r="G157" i="4"/>
  <c r="N156" i="4"/>
  <c r="P156" i="4" s="1"/>
  <c r="Q156" i="4" s="1"/>
  <c r="J156" i="4"/>
  <c r="G156" i="4"/>
  <c r="N155" i="4"/>
  <c r="O155" i="4" s="1"/>
  <c r="J155" i="4"/>
  <c r="G155" i="4"/>
  <c r="N154" i="4"/>
  <c r="P154" i="4" s="1"/>
  <c r="Q154" i="4" s="1"/>
  <c r="J154" i="4"/>
  <c r="G154" i="4"/>
  <c r="N153" i="4"/>
  <c r="O153" i="4" s="1"/>
  <c r="J153" i="4"/>
  <c r="G153" i="4"/>
  <c r="N152" i="4"/>
  <c r="P152" i="4" s="1"/>
  <c r="Q152" i="4" s="1"/>
  <c r="J152" i="4"/>
  <c r="G152" i="4"/>
  <c r="N151" i="4"/>
  <c r="O151" i="4" s="1"/>
  <c r="J151" i="4"/>
  <c r="G151" i="4"/>
  <c r="N150" i="4"/>
  <c r="P150" i="4" s="1"/>
  <c r="Q150" i="4" s="1"/>
  <c r="J150" i="4"/>
  <c r="G150" i="4"/>
  <c r="N149" i="4"/>
  <c r="O149" i="4" s="1"/>
  <c r="J149" i="4"/>
  <c r="G149" i="4"/>
  <c r="N148" i="4"/>
  <c r="P148" i="4" s="1"/>
  <c r="Q148" i="4" s="1"/>
  <c r="J148" i="4"/>
  <c r="G148" i="4"/>
  <c r="N147" i="4"/>
  <c r="O147" i="4" s="1"/>
  <c r="J147" i="4"/>
  <c r="G147" i="4"/>
  <c r="N146" i="4"/>
  <c r="P146" i="4" s="1"/>
  <c r="Q146" i="4" s="1"/>
  <c r="J146" i="4"/>
  <c r="G146" i="4"/>
  <c r="N145" i="4"/>
  <c r="O145" i="4" s="1"/>
  <c r="J145" i="4"/>
  <c r="G145" i="4"/>
  <c r="N144" i="4"/>
  <c r="P144" i="4" s="1"/>
  <c r="Q144" i="4" s="1"/>
  <c r="J144" i="4"/>
  <c r="G144" i="4"/>
  <c r="N143" i="4"/>
  <c r="O143" i="4" s="1"/>
  <c r="J143" i="4"/>
  <c r="G143" i="4"/>
  <c r="N142" i="4"/>
  <c r="P142" i="4" s="1"/>
  <c r="Q142" i="4" s="1"/>
  <c r="J142" i="4"/>
  <c r="G142" i="4"/>
  <c r="N141" i="4"/>
  <c r="O141" i="4" s="1"/>
  <c r="J141" i="4"/>
  <c r="G141" i="4"/>
  <c r="N140" i="4"/>
  <c r="P140" i="4" s="1"/>
  <c r="Q140" i="4" s="1"/>
  <c r="J140" i="4"/>
  <c r="G140" i="4"/>
  <c r="N139" i="4"/>
  <c r="O139" i="4" s="1"/>
  <c r="J139" i="4"/>
  <c r="G139" i="4"/>
  <c r="N138" i="4"/>
  <c r="P138" i="4" s="1"/>
  <c r="Q138" i="4" s="1"/>
  <c r="J138" i="4"/>
  <c r="G138" i="4"/>
  <c r="N137" i="4"/>
  <c r="O137" i="4" s="1"/>
  <c r="J137" i="4"/>
  <c r="G137" i="4"/>
  <c r="N136" i="4"/>
  <c r="P136" i="4" s="1"/>
  <c r="Q136" i="4" s="1"/>
  <c r="J136" i="4"/>
  <c r="G136" i="4"/>
  <c r="N132" i="4"/>
  <c r="O132" i="4" s="1"/>
  <c r="K132" i="4"/>
  <c r="J132" i="4"/>
  <c r="G132" i="4"/>
  <c r="N131" i="4"/>
  <c r="O131" i="4" s="1"/>
  <c r="K131" i="4"/>
  <c r="J131" i="4"/>
  <c r="G131" i="4"/>
  <c r="N130" i="4"/>
  <c r="O130" i="4" s="1"/>
  <c r="K130" i="4"/>
  <c r="J130" i="4"/>
  <c r="G130" i="4"/>
  <c r="P110" i="4"/>
  <c r="Q110" i="4" s="1"/>
  <c r="J110" i="4"/>
  <c r="P147" i="4" l="1"/>
  <c r="Q147" i="4" s="1"/>
  <c r="P155" i="4"/>
  <c r="Q155" i="4" s="1"/>
  <c r="O156" i="4"/>
  <c r="P157" i="4"/>
  <c r="Q157" i="4" s="1"/>
  <c r="O110" i="4"/>
  <c r="P131" i="4"/>
  <c r="Q131" i="4" s="1"/>
  <c r="O165" i="4"/>
  <c r="P139" i="4"/>
  <c r="Q139" i="4" s="1"/>
  <c r="P141" i="4"/>
  <c r="Q141" i="4" s="1"/>
  <c r="P149" i="4"/>
  <c r="Q149" i="4" s="1"/>
  <c r="P159" i="4"/>
  <c r="Q159" i="4" s="1"/>
  <c r="P137" i="4"/>
  <c r="Q137" i="4" s="1"/>
  <c r="P145" i="4"/>
  <c r="Q145" i="4" s="1"/>
  <c r="P153" i="4"/>
  <c r="Q153" i="4" s="1"/>
  <c r="P163" i="4"/>
  <c r="Q163" i="4" s="1"/>
  <c r="P130" i="4"/>
  <c r="Q130" i="4" s="1"/>
  <c r="P132" i="4"/>
  <c r="Q132" i="4" s="1"/>
  <c r="P143" i="4"/>
  <c r="Q143" i="4" s="1"/>
  <c r="P151" i="4"/>
  <c r="Q151" i="4" s="1"/>
  <c r="P161" i="4"/>
  <c r="Q161" i="4" s="1"/>
  <c r="O158" i="4"/>
  <c r="O160" i="4"/>
  <c r="O162" i="4"/>
  <c r="O164" i="4"/>
  <c r="O136" i="4"/>
  <c r="O138" i="4"/>
  <c r="O140" i="4"/>
  <c r="O142" i="4"/>
  <c r="O144" i="4"/>
  <c r="O146" i="4"/>
  <c r="O148" i="4"/>
  <c r="O150" i="4"/>
  <c r="O152" i="4"/>
  <c r="O154" i="4"/>
  <c r="N47" i="9" l="1"/>
  <c r="K47" i="9" s="1"/>
  <c r="N55" i="4" l="1"/>
  <c r="P55" i="4" s="1"/>
  <c r="Q55" i="4" s="1"/>
  <c r="J55" i="4"/>
  <c r="G55" i="4"/>
  <c r="O55" i="4" l="1"/>
  <c r="N32" i="9"/>
  <c r="K32" i="9" s="1"/>
  <c r="J32" i="9"/>
  <c r="G32" i="9"/>
  <c r="P32" i="9" l="1"/>
  <c r="Q32" i="9" s="1"/>
  <c r="O32" i="9"/>
  <c r="E2" i="10" l="1"/>
  <c r="F8" i="10"/>
  <c r="E8" i="10"/>
  <c r="F7" i="10"/>
  <c r="E7" i="10"/>
  <c r="I6" i="10"/>
  <c r="H6" i="10"/>
  <c r="F6" i="10" l="1"/>
  <c r="E6" i="10"/>
  <c r="C6" i="10"/>
  <c r="B6" i="10"/>
  <c r="N181" i="4" l="1"/>
  <c r="P181" i="4" s="1"/>
  <c r="Q181" i="4" s="1"/>
  <c r="N180" i="4"/>
  <c r="O180" i="4" s="1"/>
  <c r="N179" i="4"/>
  <c r="P179" i="4" s="1"/>
  <c r="Q179" i="4" s="1"/>
  <c r="J181" i="4"/>
  <c r="J180" i="4"/>
  <c r="J179" i="4"/>
  <c r="O181" i="4" l="1"/>
  <c r="O179" i="4"/>
  <c r="P180" i="4"/>
  <c r="Q180" i="4" s="1"/>
  <c r="O10" i="4" l="1"/>
  <c r="J10" i="4"/>
  <c r="G10" i="4"/>
  <c r="P10" i="4" l="1"/>
  <c r="Q10" i="4" s="1"/>
  <c r="D238" i="4"/>
  <c r="C238" i="4"/>
  <c r="B238" i="4"/>
  <c r="D51" i="7"/>
  <c r="C51" i="7"/>
  <c r="B51" i="7"/>
  <c r="B98" i="9"/>
  <c r="C98" i="9"/>
  <c r="D98" i="9"/>
  <c r="N25" i="7"/>
  <c r="P25" i="7" s="1"/>
  <c r="Q25" i="7" s="1"/>
  <c r="N28" i="7"/>
  <c r="O28" i="7" s="1"/>
  <c r="K28" i="7"/>
  <c r="J28" i="7"/>
  <c r="G28" i="7"/>
  <c r="Q46" i="7"/>
  <c r="Q93" i="9"/>
  <c r="P47" i="9"/>
  <c r="Q47" i="9" s="1"/>
  <c r="P28" i="7" l="1"/>
  <c r="Q28" i="7" s="1"/>
  <c r="Q233" i="4" l="1"/>
  <c r="N11" i="7" l="1"/>
  <c r="K11" i="7"/>
  <c r="J11" i="7"/>
  <c r="G11" i="7"/>
  <c r="O11" i="7" l="1"/>
  <c r="P11" i="7"/>
  <c r="Q11" i="7" s="1"/>
  <c r="P105" i="4"/>
  <c r="Q105" i="4" s="1"/>
  <c r="C59" i="10" l="1"/>
  <c r="B59" i="10"/>
  <c r="G87" i="4"/>
  <c r="N87" i="4"/>
  <c r="K87" i="4" s="1"/>
  <c r="J87" i="4"/>
  <c r="P31" i="4"/>
  <c r="Q31" i="4" s="1"/>
  <c r="J31" i="4"/>
  <c r="G31" i="4"/>
  <c r="O87" i="4" l="1"/>
  <c r="P87" i="4"/>
  <c r="Q87" i="4" s="1"/>
  <c r="O31" i="4"/>
  <c r="K191" i="4" l="1"/>
  <c r="P96" i="4"/>
  <c r="Q96" i="4" s="1"/>
  <c r="N86" i="4" l="1"/>
  <c r="K86" i="4" s="1"/>
  <c r="J86" i="4"/>
  <c r="G86" i="4"/>
  <c r="N83" i="4"/>
  <c r="J83" i="4"/>
  <c r="G83" i="4"/>
  <c r="N82" i="4"/>
  <c r="J82" i="4"/>
  <c r="G82" i="4"/>
  <c r="O82" i="4" l="1"/>
  <c r="P82" i="4"/>
  <c r="Q82" i="4" s="1"/>
  <c r="O83" i="4"/>
  <c r="P83" i="4"/>
  <c r="Q83" i="4" s="1"/>
  <c r="O86" i="4"/>
  <c r="P86" i="4"/>
  <c r="Q86" i="4" s="1"/>
  <c r="K93" i="4"/>
  <c r="J93" i="4"/>
  <c r="G93" i="4"/>
  <c r="O93" i="4" l="1"/>
  <c r="P93" i="4"/>
  <c r="Q93" i="4" s="1"/>
  <c r="N26" i="7"/>
  <c r="K26" i="7"/>
  <c r="J26" i="7"/>
  <c r="G26" i="7"/>
  <c r="O26" i="7" l="1"/>
  <c r="P26" i="7"/>
  <c r="Q26" i="7" s="1"/>
  <c r="N13" i="7"/>
  <c r="K13" i="7"/>
  <c r="J13" i="7"/>
  <c r="G13" i="7"/>
  <c r="N14" i="7"/>
  <c r="K14" i="7"/>
  <c r="J14" i="7"/>
  <c r="G14" i="7"/>
  <c r="N6" i="7"/>
  <c r="K6" i="7"/>
  <c r="J6" i="7"/>
  <c r="G6" i="7"/>
  <c r="O6" i="7" l="1"/>
  <c r="P6" i="7"/>
  <c r="Q6" i="7" s="1"/>
  <c r="O14" i="7"/>
  <c r="P14" i="7"/>
  <c r="Q14" i="7" s="1"/>
  <c r="O13" i="7"/>
  <c r="P13" i="7"/>
  <c r="Q13" i="7" s="1"/>
  <c r="G44" i="7"/>
  <c r="G43" i="7"/>
  <c r="G42" i="7"/>
  <c r="N37" i="7"/>
  <c r="N36" i="7"/>
  <c r="N35" i="7"/>
  <c r="N34" i="7"/>
  <c r="N33" i="7"/>
  <c r="N27" i="7"/>
  <c r="O25" i="7"/>
  <c r="N20" i="7"/>
  <c r="K20" i="7"/>
  <c r="N15" i="7"/>
  <c r="K15" i="7"/>
  <c r="N10" i="7"/>
  <c r="K10" i="7"/>
  <c r="N9" i="7"/>
  <c r="K9" i="7"/>
  <c r="N8" i="7"/>
  <c r="K8" i="7"/>
  <c r="O46" i="7"/>
  <c r="N75" i="9"/>
  <c r="P75" i="9" s="1"/>
  <c r="Q75" i="9" s="1"/>
  <c r="K75" i="9"/>
  <c r="N74" i="9"/>
  <c r="P74" i="9" s="1"/>
  <c r="Q74" i="9" s="1"/>
  <c r="K74" i="9"/>
  <c r="N73" i="9"/>
  <c r="P73" i="9" s="1"/>
  <c r="Q73" i="9" s="1"/>
  <c r="K73" i="9"/>
  <c r="N72" i="9"/>
  <c r="P72" i="9" s="1"/>
  <c r="Q72" i="9" s="1"/>
  <c r="N70" i="9"/>
  <c r="P70" i="9" s="1"/>
  <c r="Q70" i="9" s="1"/>
  <c r="N69" i="9"/>
  <c r="P69" i="9" s="1"/>
  <c r="Q69" i="9" s="1"/>
  <c r="N68" i="9"/>
  <c r="P68" i="9" s="1"/>
  <c r="Q68" i="9" s="1"/>
  <c r="N67" i="9"/>
  <c r="P67" i="9" s="1"/>
  <c r="Q67" i="9" s="1"/>
  <c r="N66" i="9"/>
  <c r="P66" i="9" s="1"/>
  <c r="Q66" i="9" s="1"/>
  <c r="N65" i="9"/>
  <c r="P65" i="9" s="1"/>
  <c r="Q65" i="9" s="1"/>
  <c r="N63" i="9"/>
  <c r="P63" i="9" s="1"/>
  <c r="Q63" i="9" s="1"/>
  <c r="N62" i="9"/>
  <c r="P62" i="9" s="1"/>
  <c r="Q62" i="9" s="1"/>
  <c r="N61" i="9"/>
  <c r="P61" i="9" s="1"/>
  <c r="Q61" i="9" s="1"/>
  <c r="N60" i="9"/>
  <c r="P60" i="9" s="1"/>
  <c r="Q60" i="9" s="1"/>
  <c r="N59" i="9"/>
  <c r="P59" i="9" s="1"/>
  <c r="Q59" i="9" s="1"/>
  <c r="J59" i="9"/>
  <c r="G59" i="9"/>
  <c r="N58" i="9"/>
  <c r="P58" i="9" s="1"/>
  <c r="Q58" i="9" s="1"/>
  <c r="N57" i="9"/>
  <c r="N56" i="9"/>
  <c r="P56" i="9" s="1"/>
  <c r="Q56" i="9" s="1"/>
  <c r="N55" i="9"/>
  <c r="P55" i="9" s="1"/>
  <c r="Q55" i="9" s="1"/>
  <c r="N54" i="9"/>
  <c r="P54" i="9" s="1"/>
  <c r="Q54" i="9" s="1"/>
  <c r="K54" i="9"/>
  <c r="N53" i="9"/>
  <c r="P53" i="9" s="1"/>
  <c r="Q53" i="9" s="1"/>
  <c r="N52" i="9"/>
  <c r="P52" i="9" s="1"/>
  <c r="Q52" i="9" s="1"/>
  <c r="N51" i="9"/>
  <c r="P51" i="9" s="1"/>
  <c r="Q51" i="9" s="1"/>
  <c r="N50" i="9"/>
  <c r="N49" i="9"/>
  <c r="P49" i="9" s="1"/>
  <c r="Q49" i="9" s="1"/>
  <c r="N48" i="9"/>
  <c r="P48" i="9" s="1"/>
  <c r="Q48" i="9" s="1"/>
  <c r="K48" i="9"/>
  <c r="N46" i="9"/>
  <c r="P46" i="9" s="1"/>
  <c r="Q46" i="9" s="1"/>
  <c r="N45" i="9"/>
  <c r="N44" i="9"/>
  <c r="P44" i="9" s="1"/>
  <c r="Q44" i="9" s="1"/>
  <c r="K44" i="9"/>
  <c r="N43" i="9"/>
  <c r="P43" i="9" s="1"/>
  <c r="Q43" i="9" s="1"/>
  <c r="N42" i="9"/>
  <c r="P42" i="9" s="1"/>
  <c r="Q42" i="9" s="1"/>
  <c r="N218" i="4"/>
  <c r="P218" i="4" s="1"/>
  <c r="Q218" i="4" s="1"/>
  <c r="N217" i="4"/>
  <c r="P217" i="4" s="1"/>
  <c r="Q217" i="4" s="1"/>
  <c r="K56" i="9" l="1"/>
  <c r="K65" i="9"/>
  <c r="K55" i="9"/>
  <c r="K42" i="9"/>
  <c r="K52" i="9"/>
  <c r="K62" i="9"/>
  <c r="K69" i="9"/>
  <c r="K67" i="9"/>
  <c r="K46" i="9"/>
  <c r="K49" i="9"/>
  <c r="K58" i="9"/>
  <c r="K59" i="9"/>
  <c r="K61" i="9"/>
  <c r="K63" i="9"/>
  <c r="K66" i="9"/>
  <c r="K68" i="9"/>
  <c r="K70" i="9"/>
  <c r="K50" i="9"/>
  <c r="P50" i="9"/>
  <c r="Q50" i="9" s="1"/>
  <c r="K60" i="9"/>
  <c r="K43" i="9"/>
  <c r="K45" i="9"/>
  <c r="P45" i="9"/>
  <c r="Q45" i="9" s="1"/>
  <c r="K51" i="9"/>
  <c r="K53" i="9"/>
  <c r="K57" i="9"/>
  <c r="P57" i="9"/>
  <c r="Q57" i="9" s="1"/>
  <c r="O35" i="7"/>
  <c r="P35" i="7"/>
  <c r="Q35" i="7" s="1"/>
  <c r="O27" i="7"/>
  <c r="O30" i="7" s="1"/>
  <c r="P27" i="7"/>
  <c r="Q27" i="7" s="1"/>
  <c r="Q30" i="7" s="1"/>
  <c r="O36" i="7"/>
  <c r="P36" i="7"/>
  <c r="Q36" i="7" s="1"/>
  <c r="O33" i="7"/>
  <c r="P33" i="7"/>
  <c r="Q33" i="7" s="1"/>
  <c r="O37" i="7"/>
  <c r="P37" i="7"/>
  <c r="Q37" i="7" s="1"/>
  <c r="O20" i="7"/>
  <c r="O22" i="7" s="1"/>
  <c r="P20" i="7"/>
  <c r="Q20" i="7" s="1"/>
  <c r="Q22" i="7" s="1"/>
  <c r="O34" i="7"/>
  <c r="P34" i="7"/>
  <c r="Q34" i="7" s="1"/>
  <c r="O8" i="7"/>
  <c r="P8" i="7"/>
  <c r="Q8" i="7" s="1"/>
  <c r="O10" i="7"/>
  <c r="P10" i="7"/>
  <c r="Q10" i="7" s="1"/>
  <c r="O9" i="7"/>
  <c r="P9" i="7"/>
  <c r="Q9" i="7" s="1"/>
  <c r="O15" i="7"/>
  <c r="P15" i="7"/>
  <c r="Q15" i="7" s="1"/>
  <c r="O59" i="9"/>
  <c r="N41" i="9"/>
  <c r="K41" i="9" s="1"/>
  <c r="N40" i="9"/>
  <c r="P40" i="9" s="1"/>
  <c r="Q40" i="9" s="1"/>
  <c r="K40" i="9"/>
  <c r="N39" i="9"/>
  <c r="O39" i="9" s="1"/>
  <c r="N38" i="9"/>
  <c r="O38" i="9" s="1"/>
  <c r="N37" i="9"/>
  <c r="P37" i="9" s="1"/>
  <c r="Q37" i="9" s="1"/>
  <c r="K37" i="9"/>
  <c r="N36" i="9"/>
  <c r="N35" i="9"/>
  <c r="K35" i="9" s="1"/>
  <c r="N31" i="9"/>
  <c r="P31" i="9" s="1"/>
  <c r="N30" i="9"/>
  <c r="P30" i="9" s="1"/>
  <c r="Q30" i="9" s="1"/>
  <c r="N29" i="9"/>
  <c r="N28" i="9"/>
  <c r="P28" i="9" s="1"/>
  <c r="Q28" i="9" s="1"/>
  <c r="N27" i="9"/>
  <c r="N26" i="9"/>
  <c r="O26" i="9" s="1"/>
  <c r="N25" i="9"/>
  <c r="N24" i="9"/>
  <c r="K24" i="9" s="1"/>
  <c r="N23" i="9"/>
  <c r="N22" i="9"/>
  <c r="P22" i="9" s="1"/>
  <c r="Q22" i="9" s="1"/>
  <c r="O22" i="9"/>
  <c r="N21" i="9"/>
  <c r="P21" i="9" s="1"/>
  <c r="Q21" i="9" s="1"/>
  <c r="N20" i="9"/>
  <c r="N19" i="9"/>
  <c r="P19" i="9" s="1"/>
  <c r="Q19" i="9" s="1"/>
  <c r="K19" i="9"/>
  <c r="N17" i="9"/>
  <c r="N16" i="9"/>
  <c r="P16" i="9" s="1"/>
  <c r="Q16" i="9" s="1"/>
  <c r="N15" i="9"/>
  <c r="O15" i="9" s="1"/>
  <c r="N14" i="9"/>
  <c r="N13" i="9"/>
  <c r="N12" i="9"/>
  <c r="N11" i="9"/>
  <c r="N10" i="9"/>
  <c r="O10" i="9" s="1"/>
  <c r="N9" i="9"/>
  <c r="N8" i="9"/>
  <c r="P8" i="9" s="1"/>
  <c r="Q8" i="9" s="1"/>
  <c r="N7" i="9"/>
  <c r="N6" i="9"/>
  <c r="N18" i="9"/>
  <c r="P18" i="9" s="1"/>
  <c r="Q18" i="9" s="1"/>
  <c r="O18" i="9"/>
  <c r="O75" i="9"/>
  <c r="O74" i="9"/>
  <c r="O73" i="9"/>
  <c r="O72" i="9"/>
  <c r="O70" i="9"/>
  <c r="O69" i="9"/>
  <c r="O68" i="9"/>
  <c r="O67" i="9"/>
  <c r="O66" i="9"/>
  <c r="O65" i="9"/>
  <c r="O63" i="9"/>
  <c r="O62" i="9"/>
  <c r="O61" i="9"/>
  <c r="O60" i="9"/>
  <c r="O58" i="9"/>
  <c r="O57" i="9"/>
  <c r="O56" i="9"/>
  <c r="O55" i="9"/>
  <c r="O54" i="9"/>
  <c r="O53" i="9"/>
  <c r="O52" i="9"/>
  <c r="O51" i="9"/>
  <c r="O50" i="9"/>
  <c r="O49" i="9"/>
  <c r="O48" i="9"/>
  <c r="O47" i="9"/>
  <c r="O46" i="9"/>
  <c r="O45" i="9"/>
  <c r="O44" i="9"/>
  <c r="O43" i="9"/>
  <c r="O42" i="9"/>
  <c r="O31" i="9"/>
  <c r="O30" i="9"/>
  <c r="O29" i="9"/>
  <c r="O23" i="9"/>
  <c r="O19" i="9"/>
  <c r="O12" i="9"/>
  <c r="O9" i="9"/>
  <c r="O93" i="9"/>
  <c r="O28" i="9" l="1"/>
  <c r="K28" i="9"/>
  <c r="K30" i="9"/>
  <c r="O21" i="9"/>
  <c r="O37" i="9"/>
  <c r="K21" i="9"/>
  <c r="K7" i="9"/>
  <c r="P7" i="9"/>
  <c r="Q7" i="9" s="1"/>
  <c r="K18" i="9"/>
  <c r="K12" i="9"/>
  <c r="P12" i="9"/>
  <c r="Q12" i="9" s="1"/>
  <c r="K16" i="9"/>
  <c r="K22" i="9"/>
  <c r="K27" i="9"/>
  <c r="P27" i="9"/>
  <c r="Q27" i="9" s="1"/>
  <c r="K29" i="9"/>
  <c r="P29" i="9"/>
  <c r="Q29" i="9" s="1"/>
  <c r="K31" i="9"/>
  <c r="K38" i="9"/>
  <c r="P38" i="9"/>
  <c r="K13" i="9"/>
  <c r="P13" i="9"/>
  <c r="Q13" i="9" s="1"/>
  <c r="K20" i="9"/>
  <c r="P20" i="9"/>
  <c r="Q20" i="9" s="1"/>
  <c r="O24" i="9"/>
  <c r="P24" i="9"/>
  <c r="Q24" i="9" s="1"/>
  <c r="K39" i="9"/>
  <c r="P39" i="9"/>
  <c r="Q39" i="9" s="1"/>
  <c r="O16" i="9"/>
  <c r="K8" i="9"/>
  <c r="K10" i="9"/>
  <c r="P10" i="9"/>
  <c r="Q10" i="9" s="1"/>
  <c r="K14" i="9"/>
  <c r="P14" i="9"/>
  <c r="Q14" i="9" s="1"/>
  <c r="K17" i="9"/>
  <c r="P17" i="9"/>
  <c r="Q17" i="9" s="1"/>
  <c r="O25" i="9"/>
  <c r="P25" i="9"/>
  <c r="Q25" i="9" s="1"/>
  <c r="K36" i="9"/>
  <c r="P36" i="9"/>
  <c r="Q36" i="9" s="1"/>
  <c r="O41" i="9"/>
  <c r="P41" i="9"/>
  <c r="Q41" i="9" s="1"/>
  <c r="O8" i="9"/>
  <c r="O36" i="9"/>
  <c r="K6" i="9"/>
  <c r="P6" i="9"/>
  <c r="Q6" i="9" s="1"/>
  <c r="K9" i="9"/>
  <c r="P9" i="9"/>
  <c r="Q9" i="9" s="1"/>
  <c r="K11" i="9"/>
  <c r="P11" i="9"/>
  <c r="Q11" i="9" s="1"/>
  <c r="K15" i="9"/>
  <c r="P15" i="9"/>
  <c r="Q15" i="9" s="1"/>
  <c r="K23" i="9"/>
  <c r="P23" i="9"/>
  <c r="Q23" i="9" s="1"/>
  <c r="K26" i="9"/>
  <c r="P26" i="9"/>
  <c r="Q26" i="9" s="1"/>
  <c r="O35" i="9"/>
  <c r="P35" i="9"/>
  <c r="Q35" i="9" s="1"/>
  <c r="O39" i="7"/>
  <c r="Q39" i="7"/>
  <c r="O17" i="7"/>
  <c r="Q17" i="7"/>
  <c r="O40" i="9"/>
  <c r="O14" i="9"/>
  <c r="O11" i="9"/>
  <c r="O27" i="9"/>
  <c r="O6" i="9"/>
  <c r="K25" i="9"/>
  <c r="O7" i="9"/>
  <c r="O17" i="9"/>
  <c r="O20" i="9"/>
  <c r="O13" i="9"/>
  <c r="N124" i="4"/>
  <c r="P124" i="4" s="1"/>
  <c r="N123" i="4"/>
  <c r="P123" i="4" s="1"/>
  <c r="Q123" i="4" s="1"/>
  <c r="N219" i="4"/>
  <c r="P219" i="4" s="1"/>
  <c r="Q224" i="4" s="1"/>
  <c r="N194" i="4"/>
  <c r="N122" i="4"/>
  <c r="P122" i="4" s="1"/>
  <c r="Q122" i="4" s="1"/>
  <c r="N121" i="4"/>
  <c r="P121" i="4" s="1"/>
  <c r="Q121" i="4" s="1"/>
  <c r="N120" i="4"/>
  <c r="P120" i="4" s="1"/>
  <c r="Q120" i="4" s="1"/>
  <c r="N115" i="4"/>
  <c r="N114" i="4"/>
  <c r="N113" i="4"/>
  <c r="N112" i="4"/>
  <c r="N104" i="4"/>
  <c r="P104" i="4" s="1"/>
  <c r="Q104" i="4" s="1"/>
  <c r="N103" i="4"/>
  <c r="P103" i="4" s="1"/>
  <c r="Q103" i="4" s="1"/>
  <c r="N100" i="4"/>
  <c r="P100" i="4" s="1"/>
  <c r="Q100" i="4" s="1"/>
  <c r="N99" i="4"/>
  <c r="P99" i="4" s="1"/>
  <c r="Q99" i="4" s="1"/>
  <c r="P98" i="4"/>
  <c r="Q98" i="4" s="1"/>
  <c r="P97" i="4"/>
  <c r="Q97" i="4" s="1"/>
  <c r="N102" i="4"/>
  <c r="P102" i="4" s="1"/>
  <c r="Q102" i="4" s="1"/>
  <c r="P95" i="4"/>
  <c r="Q95" i="4" s="1"/>
  <c r="P94" i="4"/>
  <c r="Q94" i="4" s="1"/>
  <c r="O49" i="7" l="1"/>
  <c r="P114" i="4"/>
  <c r="Q114" i="4" s="1"/>
  <c r="K114" i="4"/>
  <c r="P194" i="4"/>
  <c r="Q194" i="4" s="1"/>
  <c r="K194" i="4"/>
  <c r="P112" i="4"/>
  <c r="Q112" i="4" s="1"/>
  <c r="K112" i="4"/>
  <c r="P115" i="4"/>
  <c r="Q115" i="4" s="1"/>
  <c r="K115" i="4"/>
  <c r="P113" i="4"/>
  <c r="Q113" i="4" s="1"/>
  <c r="K113" i="4"/>
  <c r="Q49" i="7"/>
  <c r="Q191" i="4"/>
  <c r="Q107" i="4"/>
  <c r="O77" i="9"/>
  <c r="O96" i="9" s="1"/>
  <c r="N84" i="4"/>
  <c r="N80" i="4"/>
  <c r="K80" i="4" s="1"/>
  <c r="N79" i="4"/>
  <c r="K79" i="4" s="1"/>
  <c r="N81" i="4"/>
  <c r="N78" i="4"/>
  <c r="K78" i="4" s="1"/>
  <c r="O218" i="4"/>
  <c r="O217" i="4"/>
  <c r="O194" i="4"/>
  <c r="O124" i="4"/>
  <c r="O123" i="4"/>
  <c r="O122" i="4"/>
  <c r="O121" i="4"/>
  <c r="O120" i="4"/>
  <c r="O115" i="4"/>
  <c r="O114" i="4"/>
  <c r="O113" i="4"/>
  <c r="O112" i="4"/>
  <c r="O105" i="4"/>
  <c r="O104" i="4"/>
  <c r="O103" i="4"/>
  <c r="O100" i="4"/>
  <c r="O99" i="4"/>
  <c r="O98" i="4"/>
  <c r="O97" i="4"/>
  <c r="O102" i="4"/>
  <c r="O95" i="4"/>
  <c r="O94" i="4"/>
  <c r="O96" i="4"/>
  <c r="N72" i="4"/>
  <c r="K72" i="4" s="1"/>
  <c r="K71" i="4"/>
  <c r="N70" i="4"/>
  <c r="K70" i="4" s="1"/>
  <c r="O233" i="4"/>
  <c r="N65" i="4"/>
  <c r="N64" i="4"/>
  <c r="N63" i="4"/>
  <c r="N62" i="4"/>
  <c r="N57" i="4"/>
  <c r="P57" i="4" s="1"/>
  <c r="N56" i="4"/>
  <c r="P56" i="4" s="1"/>
  <c r="Q56" i="4" s="1"/>
  <c r="N54" i="4"/>
  <c r="P54" i="4" s="1"/>
  <c r="Q54" i="4" s="1"/>
  <c r="P49" i="4"/>
  <c r="Q49" i="4" s="1"/>
  <c r="P48" i="4"/>
  <c r="Q48" i="4" s="1"/>
  <c r="P47" i="4"/>
  <c r="Q47" i="4" s="1"/>
  <c r="P46" i="4"/>
  <c r="Q46" i="4" s="1"/>
  <c r="P45" i="4"/>
  <c r="Q45" i="4" s="1"/>
  <c r="P44" i="4"/>
  <c r="Q44" i="4" s="1"/>
  <c r="P43" i="4"/>
  <c r="Q43" i="4" s="1"/>
  <c r="P42" i="4"/>
  <c r="Q42" i="4" s="1"/>
  <c r="P41" i="4"/>
  <c r="Q41" i="4" s="1"/>
  <c r="P40" i="4"/>
  <c r="Q40" i="4" s="1"/>
  <c r="P39" i="4"/>
  <c r="Q39" i="4" s="1"/>
  <c r="P38" i="4"/>
  <c r="Q38" i="4" s="1"/>
  <c r="P37" i="4"/>
  <c r="Q37" i="4" s="1"/>
  <c r="P32" i="4"/>
  <c r="Q32" i="4" s="1"/>
  <c r="P30" i="4"/>
  <c r="Q30" i="4" s="1"/>
  <c r="P29" i="4"/>
  <c r="Q29" i="4" s="1"/>
  <c r="P28" i="4"/>
  <c r="Q28" i="4" s="1"/>
  <c r="P27" i="4"/>
  <c r="Q27" i="4" s="1"/>
  <c r="P26" i="4"/>
  <c r="Q26" i="4" s="1"/>
  <c r="P25" i="4"/>
  <c r="Q25" i="4" s="1"/>
  <c r="P24" i="4"/>
  <c r="Q24" i="4" s="1"/>
  <c r="P23" i="4"/>
  <c r="Q23" i="4" s="1"/>
  <c r="P22" i="4"/>
  <c r="Q22" i="4" s="1"/>
  <c r="P21" i="4"/>
  <c r="Q21" i="4" s="1"/>
  <c r="P20" i="4"/>
  <c r="Q20" i="4" s="1"/>
  <c r="P19" i="4"/>
  <c r="Q19" i="4" s="1"/>
  <c r="P18" i="4"/>
  <c r="Q18" i="4" s="1"/>
  <c r="P17" i="4"/>
  <c r="Q17" i="4" s="1"/>
  <c r="P16" i="4"/>
  <c r="Q16" i="4" s="1"/>
  <c r="P15" i="4"/>
  <c r="Q15" i="4" s="1"/>
  <c r="P14" i="4"/>
  <c r="Q14" i="4" s="1"/>
  <c r="P13" i="4"/>
  <c r="Q13" i="4" s="1"/>
  <c r="P12" i="4"/>
  <c r="Q12" i="4" s="1"/>
  <c r="P11" i="4"/>
  <c r="Q11" i="4" s="1"/>
  <c r="P9" i="4"/>
  <c r="Q9" i="4" s="1"/>
  <c r="P8" i="4"/>
  <c r="Q8" i="4" s="1"/>
  <c r="P7" i="4"/>
  <c r="Q7" i="4" s="1"/>
  <c r="P6" i="4"/>
  <c r="Q6" i="4" s="1"/>
  <c r="Q214" i="4" l="1"/>
  <c r="O214" i="4"/>
  <c r="O191" i="4"/>
  <c r="O77" i="4"/>
  <c r="P77" i="4"/>
  <c r="Q77" i="4" s="1"/>
  <c r="O79" i="4"/>
  <c r="P79" i="4"/>
  <c r="Q79" i="4" s="1"/>
  <c r="Q34" i="4"/>
  <c r="Q51" i="4"/>
  <c r="O62" i="4"/>
  <c r="P62" i="4"/>
  <c r="Q62" i="4" s="1"/>
  <c r="O71" i="4"/>
  <c r="P71" i="4"/>
  <c r="Q71" i="4" s="1"/>
  <c r="O78" i="4"/>
  <c r="P78" i="4"/>
  <c r="Q78" i="4" s="1"/>
  <c r="O84" i="4"/>
  <c r="P84" i="4"/>
  <c r="Q84" i="4" s="1"/>
  <c r="O64" i="4"/>
  <c r="P64" i="4"/>
  <c r="Q64" i="4" s="1"/>
  <c r="O63" i="4"/>
  <c r="P63" i="4"/>
  <c r="Q63" i="4" s="1"/>
  <c r="O70" i="4"/>
  <c r="P70" i="4"/>
  <c r="Q70" i="4" s="1"/>
  <c r="O72" i="4"/>
  <c r="P72" i="4"/>
  <c r="Q72" i="4" s="1"/>
  <c r="O81" i="4"/>
  <c r="P81" i="4"/>
  <c r="Q81" i="4" s="1"/>
  <c r="O85" i="4"/>
  <c r="P85" i="4"/>
  <c r="Q85" i="4" s="1"/>
  <c r="O65" i="4"/>
  <c r="P65" i="4"/>
  <c r="Q65" i="4" s="1"/>
  <c r="O80" i="4"/>
  <c r="P80" i="4"/>
  <c r="Q80" i="4" s="1"/>
  <c r="O9" i="4"/>
  <c r="O14" i="4"/>
  <c r="O18" i="4"/>
  <c r="O22" i="4"/>
  <c r="O30" i="4"/>
  <c r="O39" i="4"/>
  <c r="O43" i="4"/>
  <c r="O47" i="4"/>
  <c r="O56" i="4"/>
  <c r="O6" i="4"/>
  <c r="O11" i="4"/>
  <c r="O15" i="4"/>
  <c r="O19" i="4"/>
  <c r="O23" i="4"/>
  <c r="O27" i="4"/>
  <c r="O32" i="4"/>
  <c r="O40" i="4"/>
  <c r="O44" i="4"/>
  <c r="O48" i="4"/>
  <c r="O57" i="4"/>
  <c r="O12" i="4"/>
  <c r="O20" i="4"/>
  <c r="O37" i="4"/>
  <c r="O8" i="4"/>
  <c r="O13" i="4"/>
  <c r="O17" i="4"/>
  <c r="O21" i="4"/>
  <c r="O25" i="4"/>
  <c r="O29" i="4"/>
  <c r="O38" i="4"/>
  <c r="O42" i="4"/>
  <c r="O46" i="4"/>
  <c r="O54" i="4"/>
  <c r="O7" i="4"/>
  <c r="O16" i="4"/>
  <c r="O24" i="4"/>
  <c r="O28" i="4"/>
  <c r="O41" i="4"/>
  <c r="O45" i="4"/>
  <c r="O49" i="4"/>
  <c r="O26" i="4"/>
  <c r="O224" i="4"/>
  <c r="O126" i="4"/>
  <c r="O107" i="4"/>
  <c r="O74" i="4" l="1"/>
  <c r="O67" i="4"/>
  <c r="O59" i="4"/>
  <c r="O51" i="4"/>
  <c r="O90" i="4"/>
  <c r="Q74" i="4"/>
  <c r="Q90" i="4"/>
  <c r="O34" i="4"/>
  <c r="Q67" i="4"/>
  <c r="K214" i="4" l="1"/>
  <c r="O236" i="4"/>
  <c r="N56" i="6" s="1"/>
  <c r="J194" i="4"/>
  <c r="G194" i="4"/>
  <c r="G214" i="4" s="1"/>
  <c r="K217" i="4" l="1"/>
  <c r="K218" i="4"/>
  <c r="G231" i="4" l="1"/>
  <c r="G230" i="4"/>
  <c r="G229" i="4"/>
  <c r="G228" i="4"/>
  <c r="G227" i="4"/>
  <c r="G233" i="4" l="1"/>
  <c r="G8" i="9" l="1"/>
  <c r="G9" i="9"/>
  <c r="G10" i="9"/>
  <c r="G11" i="9"/>
  <c r="G12" i="9"/>
  <c r="G13" i="9"/>
  <c r="G14" i="9"/>
  <c r="G29" i="4"/>
  <c r="M49" i="7"/>
  <c r="L49" i="7"/>
  <c r="G68" i="9"/>
  <c r="G67" i="9"/>
  <c r="G66" i="9"/>
  <c r="G65" i="9"/>
  <c r="G63" i="9"/>
  <c r="G62" i="9"/>
  <c r="G61" i="9"/>
  <c r="G60" i="9"/>
  <c r="G58" i="9"/>
  <c r="G57" i="9"/>
  <c r="G56" i="9"/>
  <c r="G55" i="9"/>
  <c r="G54" i="9"/>
  <c r="G53" i="9"/>
  <c r="L53" i="9" s="1"/>
  <c r="G52" i="9"/>
  <c r="M96" i="9"/>
  <c r="G123" i="4"/>
  <c r="L123" i="4" s="1"/>
  <c r="G124" i="4"/>
  <c r="L124" i="4" s="1"/>
  <c r="M123" i="4"/>
  <c r="M124" i="4"/>
  <c r="G120" i="4"/>
  <c r="G121" i="4"/>
  <c r="G122" i="4"/>
  <c r="G99" i="4"/>
  <c r="K99" i="4"/>
  <c r="G71" i="4"/>
  <c r="G72" i="4"/>
  <c r="G70" i="4"/>
  <c r="G62" i="4"/>
  <c r="L62" i="4" s="1"/>
  <c r="K62" i="4"/>
  <c r="M62" i="4" s="1"/>
  <c r="G63" i="4"/>
  <c r="L63" i="4" s="1"/>
  <c r="K104" i="4"/>
  <c r="J104" i="4"/>
  <c r="G104" i="4"/>
  <c r="G7" i="4"/>
  <c r="G8" i="4"/>
  <c r="G9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32" i="4"/>
  <c r="G37" i="4"/>
  <c r="G38" i="4"/>
  <c r="G39" i="4"/>
  <c r="G40" i="4"/>
  <c r="G41" i="4"/>
  <c r="G42" i="4"/>
  <c r="G43" i="4"/>
  <c r="G44" i="4"/>
  <c r="G45" i="4"/>
  <c r="G46" i="4"/>
  <c r="G47" i="4"/>
  <c r="G48" i="4"/>
  <c r="G49" i="4"/>
  <c r="G57" i="4"/>
  <c r="G64" i="4"/>
  <c r="L64" i="4" s="1"/>
  <c r="G65" i="4"/>
  <c r="L65" i="4" s="1"/>
  <c r="G77" i="4"/>
  <c r="G78" i="4"/>
  <c r="G79" i="4"/>
  <c r="G80" i="4"/>
  <c r="G81" i="4"/>
  <c r="G84" i="4"/>
  <c r="G85" i="4"/>
  <c r="G96" i="4"/>
  <c r="G94" i="4"/>
  <c r="G95" i="4"/>
  <c r="G102" i="4"/>
  <c r="G97" i="4"/>
  <c r="G98" i="4"/>
  <c r="G100" i="4"/>
  <c r="G103" i="4"/>
  <c r="G105" i="4"/>
  <c r="G113" i="4"/>
  <c r="G114" i="4"/>
  <c r="G115" i="4"/>
  <c r="G18" i="9"/>
  <c r="J217" i="4"/>
  <c r="J120" i="4"/>
  <c r="J121" i="4"/>
  <c r="J122" i="4"/>
  <c r="J123" i="4"/>
  <c r="J29" i="4"/>
  <c r="J68" i="9"/>
  <c r="J67" i="9"/>
  <c r="J66" i="9"/>
  <c r="J65" i="9"/>
  <c r="J63" i="9"/>
  <c r="J62" i="9"/>
  <c r="J61" i="9"/>
  <c r="J60" i="9"/>
  <c r="J58" i="9"/>
  <c r="J57" i="9"/>
  <c r="J56" i="9"/>
  <c r="J55" i="9"/>
  <c r="J54" i="9"/>
  <c r="J53" i="9"/>
  <c r="J52" i="9"/>
  <c r="J9" i="9"/>
  <c r="J11" i="9"/>
  <c r="J8" i="9"/>
  <c r="J10" i="9"/>
  <c r="J12" i="9"/>
  <c r="J13" i="9"/>
  <c r="J14" i="9"/>
  <c r="K96" i="4"/>
  <c r="K94" i="4"/>
  <c r="K95" i="4"/>
  <c r="K102" i="4"/>
  <c r="K97" i="4"/>
  <c r="K98" i="4"/>
  <c r="K100" i="4"/>
  <c r="K103" i="4"/>
  <c r="K57" i="4"/>
  <c r="K63" i="4"/>
  <c r="M63" i="4" s="1"/>
  <c r="K64" i="4"/>
  <c r="M64" i="4" s="1"/>
  <c r="K65" i="4"/>
  <c r="K233" i="4"/>
  <c r="I38" i="9"/>
  <c r="I31" i="9"/>
  <c r="K72" i="9"/>
  <c r="J14" i="4"/>
  <c r="G3" i="4"/>
  <c r="J218" i="4"/>
  <c r="J99" i="4"/>
  <c r="K22" i="7"/>
  <c r="K25" i="7"/>
  <c r="K27" i="7"/>
  <c r="K33" i="7"/>
  <c r="K34" i="7"/>
  <c r="K35" i="7"/>
  <c r="K36" i="7"/>
  <c r="J115" i="4"/>
  <c r="J112" i="4"/>
  <c r="J113" i="4"/>
  <c r="J114" i="4"/>
  <c r="I124" i="4"/>
  <c r="J41" i="4"/>
  <c r="J42" i="4"/>
  <c r="J43" i="4"/>
  <c r="J44" i="4"/>
  <c r="J45" i="4"/>
  <c r="J46" i="4"/>
  <c r="J47" i="4"/>
  <c r="J48" i="4"/>
  <c r="J49" i="4"/>
  <c r="J37" i="4"/>
  <c r="J38" i="4"/>
  <c r="J39" i="4"/>
  <c r="J40" i="4"/>
  <c r="I57" i="4"/>
  <c r="J54" i="4"/>
  <c r="J56" i="4"/>
  <c r="J62" i="4"/>
  <c r="J63" i="4"/>
  <c r="J64" i="4"/>
  <c r="J65" i="4"/>
  <c r="J70" i="4"/>
  <c r="J71" i="4"/>
  <c r="J72" i="4"/>
  <c r="J77" i="4"/>
  <c r="J78" i="4"/>
  <c r="J79" i="4"/>
  <c r="J80" i="4"/>
  <c r="J81" i="4"/>
  <c r="J84" i="4"/>
  <c r="J85" i="4"/>
  <c r="J96" i="4"/>
  <c r="J94" i="4"/>
  <c r="J95" i="4"/>
  <c r="J102" i="4"/>
  <c r="J97" i="4"/>
  <c r="J98" i="4"/>
  <c r="J100" i="4"/>
  <c r="J103" i="4"/>
  <c r="J105" i="4"/>
  <c r="G54" i="4"/>
  <c r="G56" i="4"/>
  <c r="E3" i="7"/>
  <c r="E3" i="9"/>
  <c r="G15" i="7"/>
  <c r="G8" i="7"/>
  <c r="G9" i="7"/>
  <c r="G10" i="7"/>
  <c r="G20" i="7"/>
  <c r="G22" i="7" s="1"/>
  <c r="G25" i="7"/>
  <c r="G27" i="7"/>
  <c r="G33" i="7"/>
  <c r="G34" i="7"/>
  <c r="G35" i="7"/>
  <c r="G36" i="7"/>
  <c r="G37" i="7"/>
  <c r="J15" i="7"/>
  <c r="J8" i="7"/>
  <c r="J9" i="7"/>
  <c r="J10" i="7"/>
  <c r="J20" i="7"/>
  <c r="J22" i="7" s="1"/>
  <c r="J25" i="7"/>
  <c r="J27" i="7"/>
  <c r="J33" i="7"/>
  <c r="J34" i="7"/>
  <c r="J35" i="7"/>
  <c r="J36" i="7"/>
  <c r="J37" i="7"/>
  <c r="J6" i="4"/>
  <c r="J7" i="4"/>
  <c r="J8" i="4"/>
  <c r="J9" i="4"/>
  <c r="J11" i="4"/>
  <c r="J12" i="4"/>
  <c r="J13" i="4"/>
  <c r="J15" i="4"/>
  <c r="J16" i="4"/>
  <c r="J17" i="4"/>
  <c r="J18" i="4"/>
  <c r="J19" i="4"/>
  <c r="J20" i="4"/>
  <c r="J21" i="4"/>
  <c r="J22" i="4"/>
  <c r="J23" i="4"/>
  <c r="J24" i="4"/>
  <c r="J25" i="4"/>
  <c r="J26" i="4"/>
  <c r="J27" i="4"/>
  <c r="J28" i="4"/>
  <c r="J30" i="4"/>
  <c r="J32" i="4"/>
  <c r="J233" i="4"/>
  <c r="E3" i="4"/>
  <c r="G38" i="9"/>
  <c r="L38" i="9" s="1"/>
  <c r="J6" i="9"/>
  <c r="J7" i="9"/>
  <c r="J15" i="9"/>
  <c r="J16" i="9"/>
  <c r="J17" i="9"/>
  <c r="J18" i="9"/>
  <c r="J19" i="9"/>
  <c r="J20" i="9"/>
  <c r="J21" i="9"/>
  <c r="J22" i="9"/>
  <c r="J23" i="9"/>
  <c r="J24" i="9"/>
  <c r="J25" i="9"/>
  <c r="J26" i="9"/>
  <c r="J27" i="9"/>
  <c r="J28" i="9"/>
  <c r="J29" i="9"/>
  <c r="J30" i="9"/>
  <c r="J35" i="9"/>
  <c r="J36" i="9"/>
  <c r="J37" i="9"/>
  <c r="J39" i="9"/>
  <c r="J40" i="9"/>
  <c r="J41" i="9"/>
  <c r="J42" i="9"/>
  <c r="J43" i="9"/>
  <c r="J44" i="9"/>
  <c r="J45" i="9"/>
  <c r="J46" i="9"/>
  <c r="J47" i="9"/>
  <c r="J48" i="9"/>
  <c r="J49" i="9"/>
  <c r="J50" i="9"/>
  <c r="J51" i="9"/>
  <c r="J69" i="9"/>
  <c r="J70" i="9"/>
  <c r="J72" i="9"/>
  <c r="J73" i="9"/>
  <c r="J74" i="9"/>
  <c r="J75" i="9"/>
  <c r="G29" i="9"/>
  <c r="G6" i="9"/>
  <c r="G7" i="9"/>
  <c r="G15" i="9"/>
  <c r="G16" i="9"/>
  <c r="L16" i="9" s="1"/>
  <c r="G17" i="9"/>
  <c r="G19" i="9"/>
  <c r="G20" i="9"/>
  <c r="G21" i="9"/>
  <c r="G22" i="9"/>
  <c r="G23" i="9"/>
  <c r="G24" i="9"/>
  <c r="G25" i="9"/>
  <c r="G26" i="9"/>
  <c r="G27" i="9"/>
  <c r="G28" i="9"/>
  <c r="G30" i="9"/>
  <c r="G35" i="9"/>
  <c r="G36" i="9"/>
  <c r="G37" i="9"/>
  <c r="L37" i="9" s="1"/>
  <c r="G31" i="9"/>
  <c r="L31" i="9" s="1"/>
  <c r="G39" i="9"/>
  <c r="G40" i="9"/>
  <c r="G41" i="9"/>
  <c r="G42" i="9"/>
  <c r="G43" i="9"/>
  <c r="G44" i="9"/>
  <c r="G45" i="9"/>
  <c r="G46" i="9"/>
  <c r="L46" i="9" s="1"/>
  <c r="G47" i="9"/>
  <c r="G48" i="9"/>
  <c r="G49" i="9"/>
  <c r="G50" i="9"/>
  <c r="G51" i="9"/>
  <c r="G69" i="9"/>
  <c r="G70" i="9"/>
  <c r="G72" i="9"/>
  <c r="G73" i="9"/>
  <c r="G74" i="9"/>
  <c r="G75" i="9"/>
  <c r="G80" i="9"/>
  <c r="G81" i="9"/>
  <c r="G82" i="9"/>
  <c r="G83" i="9"/>
  <c r="G84" i="9"/>
  <c r="G85" i="9"/>
  <c r="G86" i="9"/>
  <c r="G87" i="9"/>
  <c r="G88" i="9"/>
  <c r="G89" i="9"/>
  <c r="G90" i="9"/>
  <c r="G91" i="9"/>
  <c r="C46" i="7"/>
  <c r="B3" i="9"/>
  <c r="B3" i="7"/>
  <c r="G3" i="9"/>
  <c r="D3" i="9"/>
  <c r="G3" i="7"/>
  <c r="D3" i="7"/>
  <c r="C93" i="9"/>
  <c r="C77" i="9"/>
  <c r="C30" i="7"/>
  <c r="C39" i="7"/>
  <c r="C22" i="7"/>
  <c r="C17" i="7"/>
  <c r="B3" i="4"/>
  <c r="D3" i="4"/>
  <c r="F93" i="10" l="1"/>
  <c r="E93" i="10"/>
  <c r="F77" i="10"/>
  <c r="E77" i="10"/>
  <c r="I22" i="10"/>
  <c r="H22" i="10"/>
  <c r="H17" i="10"/>
  <c r="I17" i="10"/>
  <c r="I46" i="10"/>
  <c r="H46" i="10"/>
  <c r="H39" i="10"/>
  <c r="I39" i="10"/>
  <c r="I30" i="10"/>
  <c r="H30" i="10"/>
  <c r="C67" i="10"/>
  <c r="B67" i="10"/>
  <c r="C34" i="10"/>
  <c r="B34" i="10"/>
  <c r="C90" i="10"/>
  <c r="B90" i="10"/>
  <c r="B74" i="10"/>
  <c r="C74" i="10"/>
  <c r="C107" i="10"/>
  <c r="B107" i="10"/>
  <c r="B51" i="10"/>
  <c r="C51" i="10"/>
  <c r="J38" i="9"/>
  <c r="Q38" i="9"/>
  <c r="J31" i="9"/>
  <c r="Q31" i="9"/>
  <c r="Q77" i="9" s="1"/>
  <c r="Q96" i="9" s="1"/>
  <c r="J214" i="4"/>
  <c r="J191" i="4"/>
  <c r="G191" i="4"/>
  <c r="F31" i="4"/>
  <c r="F10" i="4"/>
  <c r="J124" i="4"/>
  <c r="J126" i="4" s="1"/>
  <c r="Q124" i="4"/>
  <c r="Q126" i="4" s="1"/>
  <c r="J57" i="4"/>
  <c r="Q57" i="4"/>
  <c r="F46" i="4"/>
  <c r="F42" i="4"/>
  <c r="F30" i="4"/>
  <c r="G30" i="4" s="1"/>
  <c r="F26" i="4"/>
  <c r="F22" i="4"/>
  <c r="F18" i="4"/>
  <c r="F14" i="4"/>
  <c r="F9" i="4"/>
  <c r="F49" i="4"/>
  <c r="F45" i="4"/>
  <c r="F41" i="4"/>
  <c r="F38" i="4"/>
  <c r="F29" i="4"/>
  <c r="F25" i="4"/>
  <c r="F21" i="4"/>
  <c r="F17" i="4"/>
  <c r="F13" i="4"/>
  <c r="F8" i="4"/>
  <c r="F48" i="4"/>
  <c r="F44" i="4"/>
  <c r="F40" i="4"/>
  <c r="F37" i="4"/>
  <c r="F28" i="4"/>
  <c r="F24" i="4"/>
  <c r="F20" i="4"/>
  <c r="F16" i="4"/>
  <c r="F12" i="4"/>
  <c r="F7" i="4"/>
  <c r="F47" i="4"/>
  <c r="F43" i="4"/>
  <c r="F39" i="4"/>
  <c r="F32" i="4"/>
  <c r="F27" i="4"/>
  <c r="F23" i="4"/>
  <c r="F19" i="4"/>
  <c r="F15" i="4"/>
  <c r="F11" i="4"/>
  <c r="F6" i="4"/>
  <c r="G6" i="4" s="1"/>
  <c r="J59" i="4"/>
  <c r="K59" i="4"/>
  <c r="G59" i="4"/>
  <c r="K30" i="7"/>
  <c r="G46" i="7"/>
  <c r="G30" i="7"/>
  <c r="J30" i="7"/>
  <c r="C96" i="9"/>
  <c r="K93" i="9"/>
  <c r="G93" i="9"/>
  <c r="K77" i="9"/>
  <c r="J46" i="7"/>
  <c r="J39" i="7"/>
  <c r="G17" i="7"/>
  <c r="J74" i="4"/>
  <c r="J67" i="4"/>
  <c r="J51" i="4"/>
  <c r="K39" i="7"/>
  <c r="K17" i="7"/>
  <c r="K51" i="4"/>
  <c r="K107" i="4"/>
  <c r="C49" i="7"/>
  <c r="J93" i="9"/>
  <c r="J17" i="7"/>
  <c r="G39" i="7"/>
  <c r="K46" i="7"/>
  <c r="K126" i="4"/>
  <c r="K90" i="4"/>
  <c r="M236" i="4"/>
  <c r="K67" i="4"/>
  <c r="G224" i="4"/>
  <c r="G107" i="4"/>
  <c r="K224" i="4"/>
  <c r="J34" i="4"/>
  <c r="J107" i="4"/>
  <c r="K34" i="4"/>
  <c r="G126" i="4"/>
  <c r="G67" i="4"/>
  <c r="G74" i="4"/>
  <c r="L74" i="4" s="1"/>
  <c r="J90" i="4"/>
  <c r="J224" i="4"/>
  <c r="G90" i="4"/>
  <c r="G51" i="4"/>
  <c r="K74" i="4"/>
  <c r="C236" i="4"/>
  <c r="G77" i="9"/>
  <c r="L77" i="9" s="1"/>
  <c r="F97" i="10" l="1"/>
  <c r="I50" i="10"/>
  <c r="J77" i="9"/>
  <c r="C235" i="10"/>
  <c r="B2" i="10" s="1"/>
  <c r="H2" i="10"/>
  <c r="G34" i="4"/>
  <c r="G236" i="4" s="1"/>
  <c r="B58" i="6" s="1"/>
  <c r="Q59" i="4"/>
  <c r="Q236" i="4" s="1"/>
  <c r="L56" i="6" s="1"/>
  <c r="K49" i="7"/>
  <c r="G49" i="7"/>
  <c r="F58" i="6" s="1"/>
  <c r="J49" i="7"/>
  <c r="L96" i="9"/>
  <c r="J96" i="9"/>
  <c r="K96" i="9"/>
  <c r="L236" i="4"/>
  <c r="K236" i="4"/>
  <c r="J236" i="4"/>
  <c r="G96" i="9"/>
  <c r="D58" i="6" s="1"/>
  <c r="J58" i="6" l="1"/>
  <c r="L58" i="6" s="1"/>
  <c r="H56" i="6"/>
  <c r="J56" i="6"/>
  <c r="H58" i="6"/>
  <c r="B52" i="6" s="1"/>
  <c r="N58" i="6" l="1"/>
</calcChain>
</file>

<file path=xl/sharedStrings.xml><?xml version="1.0" encoding="utf-8"?>
<sst xmlns="http://schemas.openxmlformats.org/spreadsheetml/2006/main" count="1292" uniqueCount="668">
  <si>
    <t>P-100-19-D</t>
  </si>
  <si>
    <t>Decal for Head Cover</t>
  </si>
  <si>
    <t>P-100-20-115-KT</t>
  </si>
  <si>
    <t>P-100-20-220-KT</t>
  </si>
  <si>
    <t>Motor - 220 Volt (Kit)</t>
  </si>
  <si>
    <t>Motor - 115 Volt (Kit)</t>
  </si>
  <si>
    <t>Order Date</t>
  </si>
  <si>
    <t>Purchase Order</t>
  </si>
  <si>
    <t>Sales Order Number</t>
  </si>
  <si>
    <t>Taken By</t>
  </si>
  <si>
    <t>Customer Number</t>
  </si>
  <si>
    <t>Company Name</t>
  </si>
  <si>
    <t>Street Address</t>
  </si>
  <si>
    <t>City</t>
  </si>
  <si>
    <t>State</t>
  </si>
  <si>
    <t>Zip/Postal Code</t>
  </si>
  <si>
    <t>Phone Number</t>
  </si>
  <si>
    <t>Fax Number</t>
  </si>
  <si>
    <t>Email Address</t>
  </si>
  <si>
    <t>Contact Name</t>
  </si>
  <si>
    <t>Attention</t>
  </si>
  <si>
    <t>2nd Day Air</t>
  </si>
  <si>
    <t>3 Day Select</t>
  </si>
  <si>
    <t>AM Service</t>
  </si>
  <si>
    <t>Credit Card</t>
  </si>
  <si>
    <t xml:space="preserve">Expiration Date </t>
  </si>
  <si>
    <t>Ground Service</t>
  </si>
  <si>
    <t>MasterCard</t>
  </si>
  <si>
    <t>Next Day Air</t>
  </si>
  <si>
    <t>Saturday Delivery</t>
  </si>
  <si>
    <t>Saver</t>
  </si>
  <si>
    <t>Shipment Method</t>
  </si>
  <si>
    <t>Visa</t>
  </si>
  <si>
    <t>Payment Method</t>
  </si>
  <si>
    <t>Shipping Address</t>
  </si>
  <si>
    <t>General Information</t>
  </si>
  <si>
    <t>Account Information</t>
  </si>
  <si>
    <t>Prepaid</t>
  </si>
  <si>
    <t>American Express</t>
  </si>
  <si>
    <t>Freight Services</t>
  </si>
  <si>
    <t>International</t>
  </si>
  <si>
    <t>Country</t>
  </si>
  <si>
    <t>Suite / Apt#</t>
  </si>
  <si>
    <t>Email:</t>
  </si>
  <si>
    <t>orderdesk@pioneerfamilybrands.com</t>
  </si>
  <si>
    <t>Fax:</t>
  </si>
  <si>
    <t>Phone:</t>
  </si>
  <si>
    <t>(800) 975-4766</t>
  </si>
  <si>
    <t>Pioneer Family Brands, Inc.</t>
  </si>
  <si>
    <t>Additional Services</t>
  </si>
  <si>
    <t>Lift Gate</t>
  </si>
  <si>
    <t>Residential</t>
  </si>
  <si>
    <t>Commercial</t>
  </si>
  <si>
    <t>Office Use</t>
  </si>
  <si>
    <t>Entered By</t>
  </si>
  <si>
    <t>Price Level</t>
  </si>
  <si>
    <t>CODE</t>
  </si>
  <si>
    <t>U/M</t>
  </si>
  <si>
    <t>TROPICAL SNO GALLONS</t>
  </si>
  <si>
    <t>QTY.</t>
  </si>
  <si>
    <t>PRICE</t>
  </si>
  <si>
    <t>TOTAL</t>
  </si>
  <si>
    <t>TS-GL-BANAN</t>
  </si>
  <si>
    <t>pk</t>
  </si>
  <si>
    <t>Banana</t>
  </si>
  <si>
    <t>TS-GL-BLACK</t>
  </si>
  <si>
    <t>Black Cherry</t>
  </si>
  <si>
    <t>TS-GL-BLUEB</t>
  </si>
  <si>
    <t>Blueberry</t>
  </si>
  <si>
    <t>TS-GL-BLUER</t>
  </si>
  <si>
    <t>Blue Raspberry</t>
  </si>
  <si>
    <t>TS-GL-BUBBL</t>
  </si>
  <si>
    <t>Bubblegum</t>
  </si>
  <si>
    <t>TS-GL-CHERR</t>
  </si>
  <si>
    <t>Cherry</t>
  </si>
  <si>
    <t>TS-GL-COCON</t>
  </si>
  <si>
    <t>Coconut</t>
  </si>
  <si>
    <t>TS-GL-COTTO</t>
  </si>
  <si>
    <t>Cotton Candy</t>
  </si>
  <si>
    <t>TS-GL-GRAPE</t>
  </si>
  <si>
    <t>Grape</t>
  </si>
  <si>
    <t>TS-GL-GREEN</t>
  </si>
  <si>
    <t>Green Apple</t>
  </si>
  <si>
    <t>TS-GL-LEMON</t>
  </si>
  <si>
    <t>Lemon</t>
  </si>
  <si>
    <t>TS-GL-MANGO</t>
  </si>
  <si>
    <t>Mango</t>
  </si>
  <si>
    <t>TS-GL-ORANG</t>
  </si>
  <si>
    <t>Orange</t>
  </si>
  <si>
    <t>TS-GL-PEACH</t>
  </si>
  <si>
    <t>Peach</t>
  </si>
  <si>
    <t>TS-GL-PINAC</t>
  </si>
  <si>
    <t>Pina Colada</t>
  </si>
  <si>
    <t>TS-GL-PINEA</t>
  </si>
  <si>
    <t>Pineapple</t>
  </si>
  <si>
    <t>TS-GL-PINKL</t>
  </si>
  <si>
    <t>Pink Lemonade</t>
  </si>
  <si>
    <t>TS-GL-REDRA</t>
  </si>
  <si>
    <t>Red Raspberry</t>
  </si>
  <si>
    <t>TS-GL-ROOTB</t>
  </si>
  <si>
    <t>TS-GL-STRAW</t>
  </si>
  <si>
    <t>Strawberry</t>
  </si>
  <si>
    <t>TS-GL-TIGER</t>
  </si>
  <si>
    <t>Tiger's Blood</t>
  </si>
  <si>
    <t>TS-GL-VANIL</t>
  </si>
  <si>
    <t>Vanilla</t>
  </si>
  <si>
    <t>TS-GL-WATER</t>
  </si>
  <si>
    <t>Watermelon</t>
  </si>
  <si>
    <t>TOTAL:</t>
  </si>
  <si>
    <t>TROPICAL SNO QUARTS</t>
  </si>
  <si>
    <t>TS-QT-APPLE</t>
  </si>
  <si>
    <t>Apple</t>
  </si>
  <si>
    <t>TS-QT-BIRTH</t>
  </si>
  <si>
    <t>Birthday Cake</t>
  </si>
  <si>
    <t>TS-QT-CINNA</t>
  </si>
  <si>
    <t>Cinnamon</t>
  </si>
  <si>
    <t>Fresh Lime</t>
  </si>
  <si>
    <t>TS-QT-GUAVA</t>
  </si>
  <si>
    <t>Guava</t>
  </si>
  <si>
    <t>TS-QT-KIWI</t>
  </si>
  <si>
    <t>Kiwi</t>
  </si>
  <si>
    <t>TS-QT-MARGA</t>
  </si>
  <si>
    <t>Margarita</t>
  </si>
  <si>
    <t>TS-QT-PASSI</t>
  </si>
  <si>
    <t>Passion Fruit</t>
  </si>
  <si>
    <t>TS-QT-PINKG</t>
  </si>
  <si>
    <t>Pink Grapefruit</t>
  </si>
  <si>
    <t>TS-QT-TANGE</t>
  </si>
  <si>
    <t>Tangerine</t>
  </si>
  <si>
    <t>TS-QT-TUTTI</t>
  </si>
  <si>
    <t>Tutti Frutti</t>
  </si>
  <si>
    <t>TROPICAL SNO ADD ON PRODUCTS</t>
  </si>
  <si>
    <t>TA-LITESWE</t>
  </si>
  <si>
    <t>cs</t>
  </si>
  <si>
    <t>SWAN ICE SHAVING MACHINES</t>
  </si>
  <si>
    <t>ea</t>
  </si>
  <si>
    <t>Swan SI-100E Block Shaver (115 volt)</t>
  </si>
  <si>
    <t>SWAN ICE SHAVING ACCESSORIES</t>
  </si>
  <si>
    <t>P-100-12</t>
  </si>
  <si>
    <t>P-GREASE</t>
  </si>
  <si>
    <t>Grease Food Grade 2 oz Jar</t>
  </si>
  <si>
    <t>ACCESSORIES</t>
  </si>
  <si>
    <t>dz</t>
  </si>
  <si>
    <t>Bottle Caps (White)</t>
  </si>
  <si>
    <t>Pour Spouts (Blue)</t>
  </si>
  <si>
    <t>Pour Spout Caps (Orange)</t>
  </si>
  <si>
    <t>Deluxe Bottle Rack</t>
  </si>
  <si>
    <t>Gallon Mixing Jugs with Lids (4)</t>
  </si>
  <si>
    <t>Ice Pails Gallon with lids (12)</t>
  </si>
  <si>
    <t>Ice Chipper</t>
  </si>
  <si>
    <t>CUPS, NAPKINS &amp; SPOONS</t>
  </si>
  <si>
    <t>CP-SPILLS-08</t>
  </si>
  <si>
    <t>CP-SPILLS-12</t>
  </si>
  <si>
    <t>CP-NAPKINS</t>
  </si>
  <si>
    <t>BRANDED P.O.S. MATERIALS</t>
  </si>
  <si>
    <t>set</t>
  </si>
  <si>
    <t>5c</t>
  </si>
  <si>
    <t>AP-COUP-241</t>
  </si>
  <si>
    <t>AP-COUP-FRE</t>
  </si>
  <si>
    <t>AP-PCARD-9</t>
  </si>
  <si>
    <t>Punch Cards - Buy 9 Get 1 Free</t>
  </si>
  <si>
    <t>AP-PCSTAMP</t>
  </si>
  <si>
    <t>Punch Card Stamp</t>
  </si>
  <si>
    <t>AP-P-OPF-28</t>
  </si>
  <si>
    <t>AP-P-OPF-21</t>
  </si>
  <si>
    <t>AP-P-OPF-14</t>
  </si>
  <si>
    <t>AP-P-WCS-28</t>
  </si>
  <si>
    <t>AP-P-WDS-28</t>
  </si>
  <si>
    <t>BRANDED APPAREL</t>
  </si>
  <si>
    <t>TRAILERS, KIOSKS &amp; CARTS</t>
  </si>
  <si>
    <t>Purchased By</t>
  </si>
  <si>
    <t>Collect</t>
  </si>
  <si>
    <t>Comments</t>
  </si>
  <si>
    <t>Order Time</t>
  </si>
  <si>
    <t>Payment Type</t>
  </si>
  <si>
    <t>Credit Card Type</t>
  </si>
  <si>
    <t>Service Type</t>
  </si>
  <si>
    <t>Best Method</t>
  </si>
  <si>
    <t>Inside Delivery</t>
  </si>
  <si>
    <t>Shipping Method</t>
  </si>
  <si>
    <t>More Information</t>
  </si>
  <si>
    <t>Price Level C = 300-599 Gallons</t>
  </si>
  <si>
    <t>Price Level B = 50-299 Gallons</t>
  </si>
  <si>
    <t>Price Level D = 600+ Gallons</t>
  </si>
  <si>
    <t>SOFT ICE</t>
  </si>
  <si>
    <t>SI-LEMON</t>
  </si>
  <si>
    <t>SI-PEACH</t>
  </si>
  <si>
    <t>SI-STRAWBE</t>
  </si>
  <si>
    <t>Soft Ice 6 oz Container (1000/cs)</t>
  </si>
  <si>
    <t>AP-SI-P-LEMON</t>
  </si>
  <si>
    <t>Poster - Lemon - lusciously light (24x36)</t>
  </si>
  <si>
    <t>AP-SI-P-LIME</t>
  </si>
  <si>
    <t>Poster - Lime - simply sublime (24x36)</t>
  </si>
  <si>
    <t>AP-SI-P-STRAW</t>
  </si>
  <si>
    <t>Poster - Strawberry - undeniably div. (24x36)</t>
  </si>
  <si>
    <t>AP-SI-P-WILD</t>
  </si>
  <si>
    <t>Poster - Wildberry - fabulously fruity (24x36)</t>
  </si>
  <si>
    <t>AP-SI-TT</t>
  </si>
  <si>
    <t>Tropical Sno</t>
  </si>
  <si>
    <t>Soft Ice</t>
  </si>
  <si>
    <t>Swan Parts</t>
  </si>
  <si>
    <t>SWAN SI-100E PARTS</t>
  </si>
  <si>
    <t>P-100-01</t>
  </si>
  <si>
    <t>P-100-01-S</t>
  </si>
  <si>
    <t>P-100-02</t>
  </si>
  <si>
    <t>P-100-03</t>
  </si>
  <si>
    <t>P-100-04</t>
  </si>
  <si>
    <t>P-100-05</t>
  </si>
  <si>
    <t>P-100-06</t>
  </si>
  <si>
    <t>P-100-07</t>
  </si>
  <si>
    <t>P-100-08</t>
  </si>
  <si>
    <t>P-100-09</t>
  </si>
  <si>
    <t>P-100-10</t>
  </si>
  <si>
    <t>P-100-11</t>
  </si>
  <si>
    <t>P-100-13</t>
  </si>
  <si>
    <t>P-100-13-S</t>
  </si>
  <si>
    <t>P-100-13-SA</t>
  </si>
  <si>
    <t>P-100-14</t>
  </si>
  <si>
    <t>P-100-15</t>
  </si>
  <si>
    <t>P-100-16</t>
  </si>
  <si>
    <t>P-100-16-D</t>
  </si>
  <si>
    <t>P-100-17</t>
  </si>
  <si>
    <t>P-100-18</t>
  </si>
  <si>
    <t>P-100-19</t>
  </si>
  <si>
    <t>P-100-19-S</t>
  </si>
  <si>
    <t>P-100-20-12V-B</t>
  </si>
  <si>
    <t>P-100-20-12V-HS</t>
  </si>
  <si>
    <t>P-100-20-12V-KT</t>
  </si>
  <si>
    <t>P-100-20-W</t>
  </si>
  <si>
    <t>P-100-21</t>
  </si>
  <si>
    <t>P-100-21-LP</t>
  </si>
  <si>
    <t>P-100-21-SP</t>
  </si>
  <si>
    <t>P-100-22</t>
  </si>
  <si>
    <t>P-100-22-S</t>
  </si>
  <si>
    <t>P-100-22-W</t>
  </si>
  <si>
    <t>P-100-23</t>
  </si>
  <si>
    <t>P-100-24</t>
  </si>
  <si>
    <t>P-100-25</t>
  </si>
  <si>
    <t>P-100-26</t>
  </si>
  <si>
    <t>P-100-27</t>
  </si>
  <si>
    <t>P-100-28</t>
  </si>
  <si>
    <t>P-100-29</t>
  </si>
  <si>
    <t>P-100-30</t>
  </si>
  <si>
    <t>P-100-31</t>
  </si>
  <si>
    <t>P-100-32</t>
  </si>
  <si>
    <t>P-100-33</t>
  </si>
  <si>
    <t>P-100-34</t>
  </si>
  <si>
    <t>P-100-34-CV</t>
  </si>
  <si>
    <t>P-100-35</t>
  </si>
  <si>
    <t>P-100-36</t>
  </si>
  <si>
    <t>P-100-36-SP</t>
  </si>
  <si>
    <t>P-100-37</t>
  </si>
  <si>
    <t>P-100-38</t>
  </si>
  <si>
    <t>P-100-39</t>
  </si>
  <si>
    <t>P-100-40</t>
  </si>
  <si>
    <t>P-100-41</t>
  </si>
  <si>
    <t>P-100-41-S</t>
  </si>
  <si>
    <t>P-100-42</t>
  </si>
  <si>
    <t>P-100-44</t>
  </si>
  <si>
    <t>P-100-45-L</t>
  </si>
  <si>
    <t>P-100-45-S</t>
  </si>
  <si>
    <t>P-100-46</t>
  </si>
  <si>
    <t>Main Shaft Handle</t>
  </si>
  <si>
    <t>Set Screw for Main Shaft Handle</t>
  </si>
  <si>
    <t>Gear Box Cap</t>
  </si>
  <si>
    <t>Worm Gear</t>
  </si>
  <si>
    <t>Gear Box</t>
  </si>
  <si>
    <t>Worm Gear Rubber</t>
  </si>
  <si>
    <t>Brake Adjustment Hole Plug</t>
  </si>
  <si>
    <t>Main Shaft</t>
  </si>
  <si>
    <t>Polycarbonate Shield</t>
  </si>
  <si>
    <t>Ice Block Holder Cover</t>
  </si>
  <si>
    <t>Shaving Disk with Frame</t>
  </si>
  <si>
    <t>Head Stock Under Cover</t>
  </si>
  <si>
    <t>Blade</t>
  </si>
  <si>
    <t>Blade Support</t>
  </si>
  <si>
    <t>Set Screw for Blade Support</t>
  </si>
  <si>
    <t>Screw for Blade Adjustment</t>
  </si>
  <si>
    <t>Cutter Block Pin</t>
  </si>
  <si>
    <t>One Touch Spring</t>
  </si>
  <si>
    <t>Blade Adjustment Knob</t>
  </si>
  <si>
    <t>Decal for Blade Adjustment Knob</t>
  </si>
  <si>
    <t>Motor Cover Rubber</t>
  </si>
  <si>
    <t>Flat Screw for Head Cover</t>
  </si>
  <si>
    <t>Motor Bracket - 12v DC</t>
  </si>
  <si>
    <t>Hex Head Cap Screw</t>
  </si>
  <si>
    <t>Motor - DC 12 Volt (Kit)</t>
  </si>
  <si>
    <t>Motor Leg Base Rubber</t>
  </si>
  <si>
    <t>Brake Worm Gear</t>
  </si>
  <si>
    <t>Large Pin for Brake Worm Gear</t>
  </si>
  <si>
    <t>Small Pin for Brake Worm Gear</t>
  </si>
  <si>
    <t>Blade Holder</t>
  </si>
  <si>
    <t>Screw for Blade Holder</t>
  </si>
  <si>
    <t>Washer for Blade Holder Screw</t>
  </si>
  <si>
    <t>Head Stock</t>
  </si>
  <si>
    <t>Main Frame Cover</t>
  </si>
  <si>
    <t>Upper Frame</t>
  </si>
  <si>
    <t>Rear Guard "F" Stopper</t>
  </si>
  <si>
    <t>Rear Guard "M" Stopper</t>
  </si>
  <si>
    <t>Lower Frame</t>
  </si>
  <si>
    <t>Front Panel</t>
  </si>
  <si>
    <t>Base</t>
  </si>
  <si>
    <t>Rubber Feet</t>
  </si>
  <si>
    <t>Gear Box Rubber</t>
  </si>
  <si>
    <t>Switch Cover</t>
  </si>
  <si>
    <t>Protector (Reset Switch)</t>
  </si>
  <si>
    <t>Clear Plastic Protector Cover</t>
  </si>
  <si>
    <t>Motor Switch</t>
  </si>
  <si>
    <t>SS Worm</t>
  </si>
  <si>
    <t>Small Pin for SS Worm</t>
  </si>
  <si>
    <t>Brake Shoe Bracket</t>
  </si>
  <si>
    <t>Worm Spring</t>
  </si>
  <si>
    <t>Brake Shoe</t>
  </si>
  <si>
    <t>Worm Shaft Bracket</t>
  </si>
  <si>
    <t>Ice Block Holder Crank</t>
  </si>
  <si>
    <t>Screw for Ice Block Holder Crank</t>
  </si>
  <si>
    <t>Ice Block Holder</t>
  </si>
  <si>
    <t>Plug with Cord</t>
  </si>
  <si>
    <t>Thumb Screw (Long)</t>
  </si>
  <si>
    <t>Thumb Screw (Short)</t>
  </si>
  <si>
    <t>Drain Hose</t>
  </si>
  <si>
    <t>Table Tent - Variety Pack (40 pcs)</t>
  </si>
  <si>
    <t>OTHER PRODUCTS</t>
  </si>
  <si>
    <t>TROPICAL SNO TOTALS</t>
  </si>
  <si>
    <t>SOFT ICE TOTALS</t>
  </si>
  <si>
    <t>SWAN PARTS</t>
  </si>
  <si>
    <t>Other</t>
  </si>
  <si>
    <t>Discover</t>
  </si>
  <si>
    <t>UPS Account # (if applicable)</t>
  </si>
  <si>
    <t>Blades (SI-100E, SI-150E, SI-200E, SI-3B)</t>
  </si>
  <si>
    <t>Ship To #</t>
  </si>
  <si>
    <t>CP-FHGLOVES-L</t>
  </si>
  <si>
    <t>Pickup</t>
  </si>
  <si>
    <t>TA-CR-VANIL</t>
  </si>
  <si>
    <t>MS-SI100E</t>
  </si>
  <si>
    <t>MS-SI100E-220</t>
  </si>
  <si>
    <t>MS-SI100E-12V</t>
  </si>
  <si>
    <t>AC-QWHITECAPS</t>
  </si>
  <si>
    <t>AC-QSPOUTS</t>
  </si>
  <si>
    <t>AC-QSPOUTCAPS</t>
  </si>
  <si>
    <t>AC-RACK-DLX</t>
  </si>
  <si>
    <t>AC-MIXJUGS</t>
  </si>
  <si>
    <t>AC-ICEPAIL</t>
  </si>
  <si>
    <t>AC-ICECHIP</t>
  </si>
  <si>
    <t>AC-QTCRATE</t>
  </si>
  <si>
    <t>AC-QBTREE</t>
  </si>
  <si>
    <t>AC-TESTSTRIP</t>
  </si>
  <si>
    <t>Spoon - Medium Weight 5" (1000/cs)</t>
  </si>
  <si>
    <t>CP-SPOONS-5</t>
  </si>
  <si>
    <t>CP-SPOONS-8</t>
  </si>
  <si>
    <t>EK-JRGAZEBO</t>
  </si>
  <si>
    <t>EK-6FTHOUSE</t>
  </si>
  <si>
    <t>Coffee</t>
  </si>
  <si>
    <t>TS-QT-COFFE</t>
  </si>
  <si>
    <t>TS-QT-CRANB</t>
  </si>
  <si>
    <t>Cranberry</t>
  </si>
  <si>
    <t>TS-QT-HUCKL</t>
  </si>
  <si>
    <t>Huckleberry</t>
  </si>
  <si>
    <t>SI-MANGO</t>
  </si>
  <si>
    <t>CP-CUPSI-06</t>
  </si>
  <si>
    <t>Pkgs</t>
  </si>
  <si>
    <t>TROPICAL SNO BRANDED MATERIALS</t>
  </si>
  <si>
    <t>TROPICAL SNO BRANDED POSTERS, BANNERS, DECALS</t>
  </si>
  <si>
    <t>Debit Card</t>
  </si>
  <si>
    <t>TS-GL-FRESH</t>
  </si>
  <si>
    <t>MS-SI150S</t>
  </si>
  <si>
    <t>CP-SPILLS-16</t>
  </si>
  <si>
    <t>TS-GL-COLA</t>
  </si>
  <si>
    <t>Cola</t>
  </si>
  <si>
    <t>Sales Order #</t>
  </si>
  <si>
    <t>Shipping Cost</t>
  </si>
  <si>
    <t>Net Total</t>
  </si>
  <si>
    <t>Shipping Total</t>
  </si>
  <si>
    <t>Order Total</t>
  </si>
  <si>
    <t>Crate for Quart Pour Bottles (Holds 12)</t>
  </si>
  <si>
    <t>Bottle Tree/ Dryer</t>
  </si>
  <si>
    <t>Chlorine Test Strip</t>
  </si>
  <si>
    <t>© Pioneer Family Brands, Inc</t>
  </si>
  <si>
    <t>bx</t>
  </si>
  <si>
    <t>LBS</t>
  </si>
  <si>
    <t>PKGS</t>
  </si>
  <si>
    <t>TTL LBS</t>
  </si>
  <si>
    <t>DV</t>
  </si>
  <si>
    <t>AH</t>
  </si>
  <si>
    <t>SWAN PARTS - CUSTOM ORDER</t>
  </si>
  <si>
    <t>Last 4 Digits of Credit Card</t>
  </si>
  <si>
    <t>If using a credit card on file provide the last 4 digits and expiration date for the credit card.</t>
  </si>
  <si>
    <t>CL-APRON-FBL</t>
  </si>
  <si>
    <t>Apron, Full</t>
  </si>
  <si>
    <t>6FT House  * Custom Order *</t>
  </si>
  <si>
    <t>Junior Gazebo * Custom Order *</t>
  </si>
  <si>
    <t>Cube</t>
  </si>
  <si>
    <t>Screw for Protector</t>
  </si>
  <si>
    <t>P-100-34-S</t>
  </si>
  <si>
    <t>SOFT ICE OTHER</t>
  </si>
  <si>
    <t>Add. Charges</t>
  </si>
  <si>
    <t>Cubic Feet</t>
  </si>
  <si>
    <t>Special Order</t>
  </si>
  <si>
    <t>SI-WILDBER</t>
  </si>
  <si>
    <t>Wildberry</t>
  </si>
  <si>
    <t>SI-RASPBER</t>
  </si>
  <si>
    <t>Raspberry</t>
  </si>
  <si>
    <t>Dealer A</t>
  </si>
  <si>
    <t>Dealer B</t>
  </si>
  <si>
    <t>Dealer C</t>
  </si>
  <si>
    <t>Dealer D</t>
  </si>
  <si>
    <t>CP-CUPSI-04</t>
  </si>
  <si>
    <t>Soft Ice 3.5 oz Container (1000/cs)</t>
  </si>
  <si>
    <t>Order Form - Dealer</t>
  </si>
  <si>
    <t>Please call our customer service department at (800) 975-4766 if providing new credit card information.</t>
  </si>
  <si>
    <t>CP-CUPPC-12</t>
  </si>
  <si>
    <t>Vanilla Cream Topping (1 quart pack)</t>
  </si>
  <si>
    <t>Lite Sweetener (packed in a 6 lb jug and yields 2 gallons)</t>
  </si>
  <si>
    <t>Swan SI-100E Block Ice Shaver (12 Volt DC) w/ Internal Foot Control</t>
  </si>
  <si>
    <t>Swan SI-150E Block Ice Shaver (115 volt)  - No NSF</t>
  </si>
  <si>
    <t>Spoon - Medium Weight 8" (1000 / case)</t>
  </si>
  <si>
    <t>Spoon - Medium Weight 5" (1000 / case)</t>
  </si>
  <si>
    <t>Food Handlers Gloves - L (500 / case)</t>
  </si>
  <si>
    <t>Printed Logo Napkins (6000 / case)</t>
  </si>
  <si>
    <t>Spill Stopper Yellow - Fits 16J16 (500 / case)</t>
  </si>
  <si>
    <t>Spill Stopper Blue - Fits 12J12 (500 / case)</t>
  </si>
  <si>
    <t>Spill Stopper Green - Fits 8J8 (500 / case)</t>
  </si>
  <si>
    <t>Paper Cup - 12 oz Cups (2000 / case)</t>
  </si>
  <si>
    <t>Coupons - Buy One Get One Free Any Size (500 / bundle)</t>
  </si>
  <si>
    <t>Coupons - Free 8oz (500 / bundle)</t>
  </si>
  <si>
    <t>Poster Frame - Outdoor Poster/Menu, 28" x 44"</t>
  </si>
  <si>
    <t>Poster Frame - Outdoor Poster/Menu, 21" x33"</t>
  </si>
  <si>
    <t>Poster Frame - Outdoor Poster/Menu, 14" x 22"</t>
  </si>
  <si>
    <t>Poster Frame - Windmaster Classic Curb Sign w/ Legs, 28" x44"</t>
  </si>
  <si>
    <t>Poster Frame - Windmaster Deluxe Curb Sign w/ Rolling Base, 28" x44"</t>
  </si>
  <si>
    <t>AP-LOG-DC-24</t>
  </si>
  <si>
    <t>AP-LOG-DC-36</t>
  </si>
  <si>
    <t>AP-LOG-DC-48</t>
  </si>
  <si>
    <t>AP-LOG-DC-60</t>
  </si>
  <si>
    <t>TS-GL-VERCH</t>
  </si>
  <si>
    <t>Verry Cherry</t>
  </si>
  <si>
    <t>AC-QTSQUEEZE</t>
  </si>
  <si>
    <t>Quart Squeeze Bottle</t>
  </si>
  <si>
    <t>CP-SPOONS-C1</t>
  </si>
  <si>
    <t>Spoon Color Changing (1000 / case)</t>
  </si>
  <si>
    <t>SI-PINACOL</t>
  </si>
  <si>
    <t>Dim Wt</t>
  </si>
  <si>
    <t>Date Updated:</t>
  </si>
  <si>
    <t>Price Level A = &lt; 49 Gallons</t>
  </si>
  <si>
    <t>Bill Weight</t>
  </si>
  <si>
    <t>Actual Weight</t>
  </si>
  <si>
    <t>TS-GL-BLUEH</t>
  </si>
  <si>
    <t>Blue Hawaiian</t>
  </si>
  <si>
    <t>AP-P-CPO-14</t>
  </si>
  <si>
    <t>AP-P-CPO-21</t>
  </si>
  <si>
    <t>AP-P-CPO-28</t>
  </si>
  <si>
    <t>Clear Protective Outdoor Overlay, 28" x 44"</t>
  </si>
  <si>
    <t>Clear Protective Outdoor Overlay, 21" x 33"</t>
  </si>
  <si>
    <t>Clear Protective Outdoor Overlay, 14" x 22"</t>
  </si>
  <si>
    <r>
      <t xml:space="preserve">K6 Shift </t>
    </r>
    <r>
      <rPr>
        <b/>
        <sz val="10"/>
        <rFont val="Wingdings"/>
        <charset val="2"/>
      </rPr>
      <t>à</t>
    </r>
    <r>
      <rPr>
        <b/>
        <i/>
        <sz val="10"/>
        <rFont val="Arial"/>
        <family val="2"/>
      </rPr>
      <t xml:space="preserve"> End </t>
    </r>
    <r>
      <rPr>
        <b/>
        <sz val="10"/>
        <rFont val="Wingdings"/>
        <charset val="2"/>
      </rPr>
      <t>â</t>
    </r>
    <r>
      <rPr>
        <b/>
        <i/>
        <sz val="10"/>
        <rFont val="Arial"/>
        <family val="2"/>
      </rPr>
      <t xml:space="preserve"> Copy</t>
    </r>
  </si>
  <si>
    <r>
      <t xml:space="preserve">H6 Shift </t>
    </r>
    <r>
      <rPr>
        <b/>
        <sz val="10"/>
        <rFont val="Wingdings"/>
        <charset val="2"/>
      </rPr>
      <t>à</t>
    </r>
    <r>
      <rPr>
        <b/>
        <i/>
        <sz val="10"/>
        <rFont val="Arial"/>
        <family val="2"/>
      </rPr>
      <t xml:space="preserve"> End </t>
    </r>
    <r>
      <rPr>
        <b/>
        <sz val="10"/>
        <rFont val="Wingdings"/>
        <charset val="2"/>
      </rPr>
      <t>â</t>
    </r>
    <r>
      <rPr>
        <b/>
        <i/>
        <sz val="10"/>
        <rFont val="Arial"/>
        <family val="2"/>
      </rPr>
      <t xml:space="preserve"> Copy</t>
    </r>
  </si>
  <si>
    <r>
      <t xml:space="preserve">B6 Shift </t>
    </r>
    <r>
      <rPr>
        <b/>
        <sz val="10"/>
        <rFont val="Wingdings"/>
        <charset val="2"/>
      </rPr>
      <t>à</t>
    </r>
    <r>
      <rPr>
        <b/>
        <i/>
        <sz val="10"/>
        <rFont val="Arial"/>
        <family val="2"/>
      </rPr>
      <t xml:space="preserve"> End </t>
    </r>
    <r>
      <rPr>
        <b/>
        <sz val="10"/>
        <rFont val="Wingdings"/>
        <charset val="2"/>
      </rPr>
      <t>â</t>
    </r>
    <r>
      <rPr>
        <b/>
        <i/>
        <sz val="10"/>
        <rFont val="Arial"/>
        <family val="2"/>
      </rPr>
      <t xml:space="preserve"> Copy</t>
    </r>
  </si>
  <si>
    <t>Qty Total</t>
  </si>
  <si>
    <t>For Office Use</t>
  </si>
  <si>
    <t>P-100-20-115-ST</t>
  </si>
  <si>
    <t>Starter for Motor 115 Volt</t>
  </si>
  <si>
    <t>TA-CR-BANAN</t>
  </si>
  <si>
    <t>Banana Cream Topping (1 quart pack)</t>
  </si>
  <si>
    <t>Coconut Cream Topping (1 quart pack)</t>
  </si>
  <si>
    <t>TA-CR-COCON</t>
  </si>
  <si>
    <t>Root Beer</t>
  </si>
  <si>
    <t>AP-LABEL-SET</t>
  </si>
  <si>
    <t>AP-P15-SET-28</t>
  </si>
  <si>
    <t>AP-P15-SET-21</t>
  </si>
  <si>
    <t>AP-P15-SET-14</t>
  </si>
  <si>
    <t>CP-CUPTS-08</t>
  </si>
  <si>
    <t>CP-CUPTS-12</t>
  </si>
  <si>
    <t>CP-CUPTS-16</t>
  </si>
  <si>
    <t>Cups - Tropical Sno 8J8 - Dart 8oz (1000 / case)</t>
  </si>
  <si>
    <t>Cups - Tropical Sno 12J12 - Dart 12oz (1000 / case)</t>
  </si>
  <si>
    <t>Cups - Tropical Sno 16J16 - Dart 16oz (1000 / case)</t>
  </si>
  <si>
    <t>Bottle Label Set - All Flavors &amp; Cream (x2) + 10 Lite *New*</t>
  </si>
  <si>
    <t>Food Handlers Gloves - M (500 / case)</t>
  </si>
  <si>
    <t>CP-FHGLOVES-M</t>
  </si>
  <si>
    <t>Drip Tray (after market, no spout for hose)</t>
  </si>
  <si>
    <t>SI-BLACKCH</t>
  </si>
  <si>
    <t>SI-FRESHLI</t>
  </si>
  <si>
    <t>CL-TM-RR-TS-SM</t>
  </si>
  <si>
    <t>CL-TM-RR-TS-ME</t>
  </si>
  <si>
    <t>CL-TM-RR-TS-LG</t>
  </si>
  <si>
    <t>CL-TM-RR-TS-XL</t>
  </si>
  <si>
    <t>CL-TM-RR-TS-XX</t>
  </si>
  <si>
    <t>CL-HAT-OTTO</t>
  </si>
  <si>
    <t>TTL CF</t>
  </si>
  <si>
    <t>BILL WT</t>
  </si>
  <si>
    <t>Swan SI-100E Block Shaver (220 volt) - International AC Plug</t>
  </si>
  <si>
    <t>AP-COUP-1D</t>
  </si>
  <si>
    <t>Coupons, $1.00 Off (500 / bundle)</t>
  </si>
  <si>
    <t>SI-PINEAPP</t>
  </si>
  <si>
    <t>P-100-20-115-SM3</t>
  </si>
  <si>
    <t>P-100-20-115-SM4</t>
  </si>
  <si>
    <t>SI-100E Screw M4 for Starter</t>
  </si>
  <si>
    <t>SI-100E Screw M3 for Starter</t>
  </si>
  <si>
    <t>P-100-42-S</t>
  </si>
  <si>
    <t>SI-100E Screw for Ice Block Holder</t>
  </si>
  <si>
    <t>3560 W. Ninigret Drive</t>
  </si>
  <si>
    <t>Salt Lake City, UT  84104-6568</t>
  </si>
  <si>
    <t>(801) 972-2486</t>
  </si>
  <si>
    <t>Head Cover w/ Decal</t>
  </si>
  <si>
    <t>Swan SI-100E Parts</t>
  </si>
  <si>
    <t>P-FOOT-LA</t>
  </si>
  <si>
    <t>Foot Control, Complete - Air Foot Controller Box, Pedal, Tube</t>
  </si>
  <si>
    <t>Men's T-Shirt, Royal Ringer Tropical Sno, Small</t>
  </si>
  <si>
    <t>Men's T-Shirt, Royal Ringer Tropical Sno, Medium</t>
  </si>
  <si>
    <t>Men's T-Shirt, Royal Ringer Tropical Sno, Large</t>
  </si>
  <si>
    <t>Men's T-Shirt, Royal Ringer Tropical Sno, X-Large</t>
  </si>
  <si>
    <t>Men's T-Shirt, Royal Ringer Tropical Sno, XX-Large</t>
  </si>
  <si>
    <t>CL-TM-BL-LG</t>
  </si>
  <si>
    <t>CL-TM-BL-ME</t>
  </si>
  <si>
    <t>CL-TM-BL-SM</t>
  </si>
  <si>
    <t>CL-TM-BL-XL</t>
  </si>
  <si>
    <t>CL-TM-BL-XX</t>
  </si>
  <si>
    <t>CL-TM-HG-LG</t>
  </si>
  <si>
    <t>CL-TM-HG-ME</t>
  </si>
  <si>
    <t>CL-TM-HG-SM</t>
  </si>
  <si>
    <t>CL-TM-HG-XL</t>
  </si>
  <si>
    <t>CL-TM-HG-XX</t>
  </si>
  <si>
    <t>Men's T-Shirt, Heather Gray, Large</t>
  </si>
  <si>
    <t>Men's T-Shirt, Heather Gray, Medium</t>
  </si>
  <si>
    <t>Men's T-Shirt, Heather Gray, Small</t>
  </si>
  <si>
    <t>Men's T-Shirt, Heather Gray, X-Large</t>
  </si>
  <si>
    <t>Men's T-Shirt, Heather Gray, XX-Large</t>
  </si>
  <si>
    <t>AP-P17-SET-28</t>
  </si>
  <si>
    <t>AP-P17-SET-21</t>
  </si>
  <si>
    <t>AP-P17-SET-14</t>
  </si>
  <si>
    <t>Poster (28x44) - Featured Flavors Poster Set 2017 (10 Posters)</t>
  </si>
  <si>
    <t>Poster (21x33) - Featured Flavors Poster Set 2017 (10 Posters)</t>
  </si>
  <si>
    <t>Poster (14x22) - Featured Flavors Poster Set 2017 (10 Posters)</t>
  </si>
  <si>
    <t>Poster (28x44) - Featured Flavors Poster Set 2015 (10 Posters)</t>
  </si>
  <si>
    <t>Poster (21x33) - Featured Flavors Poster Set 2015 (10 Posters)</t>
  </si>
  <si>
    <t>Poster (14x22) - Featured Flavors Poster Set 2015 (10 Posters)</t>
  </si>
  <si>
    <t>AP-P17-LD-28</t>
  </si>
  <si>
    <t>AP-P17-LD-21</t>
  </si>
  <si>
    <t>AP-P17-LD-14</t>
  </si>
  <si>
    <t>AP-P17-OC-28</t>
  </si>
  <si>
    <t>AP-P17-OC-21</t>
  </si>
  <si>
    <t>AP-P17-OC-14</t>
  </si>
  <si>
    <t>AP-P17-OP-28</t>
  </si>
  <si>
    <t>AP-P17-OP-21</t>
  </si>
  <si>
    <t>AP-P17-OP-14</t>
  </si>
  <si>
    <t>Poster (28x44) - Open</t>
  </si>
  <si>
    <t>Poster (21x33) - Open</t>
  </si>
  <si>
    <t>Poster (14x22) - Open</t>
  </si>
  <si>
    <t>AP-P17-PC-28</t>
  </si>
  <si>
    <t>AP-P17-PC-21</t>
  </si>
  <si>
    <t>AP-P17-PC-14</t>
  </si>
  <si>
    <t>Poster (28x44) - Purple Cow</t>
  </si>
  <si>
    <t>Poster (21x33) - Purple Cow</t>
  </si>
  <si>
    <t>Poster (14x22) - Purple Cow</t>
  </si>
  <si>
    <t>Poster (28x44) - Lover’s Delight</t>
  </si>
  <si>
    <t>Poster (21x33) - Lover’s Delight</t>
  </si>
  <si>
    <t>Poster (14x22) - Lover’s Delight</t>
  </si>
  <si>
    <t>Poster (28x44) - Ocean Pacific</t>
  </si>
  <si>
    <t>Poster (21x33) - Ocean Pacific</t>
  </si>
  <si>
    <t>Poster (14x22) - Ocean Pacific</t>
  </si>
  <si>
    <t>Poster (28x44) - Peach Coconilla</t>
  </si>
  <si>
    <t>Poster (21x33) - Peach Coconilla</t>
  </si>
  <si>
    <t>Poster (14x22) - Peach Coconilla</t>
  </si>
  <si>
    <t>Poster (28x44) - Paradise Island</t>
  </si>
  <si>
    <t>Poster (21x33) - Paradise Island</t>
  </si>
  <si>
    <t>Poster (14x22) - Paradise Island</t>
  </si>
  <si>
    <t>Poster (28x44) - P.O.G.</t>
  </si>
  <si>
    <t>Poster (21x33) - P.O.G.</t>
  </si>
  <si>
    <t>Poster (14x22) - P.O.G.</t>
  </si>
  <si>
    <t>Poster (28x44) - Summer Breeze</t>
  </si>
  <si>
    <t>Poster (21x33) - Summer Breeze</t>
  </si>
  <si>
    <t>Poster (14x22) - Summer Breeze</t>
  </si>
  <si>
    <t>Poster (28x44) - Silver Fox</t>
  </si>
  <si>
    <t>Poster (21x33) - Silver Fox</t>
  </si>
  <si>
    <t>Poster (14x22) - Silver Fox</t>
  </si>
  <si>
    <t>Poster (28x44) - Sunrise</t>
  </si>
  <si>
    <t>Poster (21x33) - Sunrise</t>
  </si>
  <si>
    <t>Poster (14x22) - Sunrise</t>
  </si>
  <si>
    <t>Poster (28x44) - Volcano</t>
  </si>
  <si>
    <t>Poster (21x33) - Volcano</t>
  </si>
  <si>
    <t>Poster (14x22) - Volcano</t>
  </si>
  <si>
    <t>AP-P17-PE-28</t>
  </si>
  <si>
    <t>AP-P17-PE-21</t>
  </si>
  <si>
    <t>AP-P17-PE-14</t>
  </si>
  <si>
    <t>AP-P17-PI-28</t>
  </si>
  <si>
    <t>AP-P17-PI-21</t>
  </si>
  <si>
    <t>AP-P17-PI-14</t>
  </si>
  <si>
    <t>AP-P17-PO-28</t>
  </si>
  <si>
    <t>AP-P17-PO-21</t>
  </si>
  <si>
    <t>AP-P17-PO-14</t>
  </si>
  <si>
    <t>AP-P17-SB-28</t>
  </si>
  <si>
    <t>AP-P17-SB-21</t>
  </si>
  <si>
    <t>AP-P17-SB-14</t>
  </si>
  <si>
    <t>AP-P17-SF-28</t>
  </si>
  <si>
    <t>AP-P17-SF-21</t>
  </si>
  <si>
    <t>AP-P17-SF-14</t>
  </si>
  <si>
    <t>AP-P17-SU-28</t>
  </si>
  <si>
    <t>AP-P17-SU-21</t>
  </si>
  <si>
    <t>AP-P17-SU-14</t>
  </si>
  <si>
    <t>AP-P17-VO-28</t>
  </si>
  <si>
    <t>AP-P17-VO-21</t>
  </si>
  <si>
    <t>AP-P17-VO-14</t>
  </si>
  <si>
    <t>AP-BF-BLU-KIT</t>
  </si>
  <si>
    <t>Bowflag - Blue</t>
  </si>
  <si>
    <t>AP-BF-GRE-KIT</t>
  </si>
  <si>
    <t>Bowflag - Green</t>
  </si>
  <si>
    <t>AP-BF-ORA-KIT</t>
  </si>
  <si>
    <t>Bowflag - Orange</t>
  </si>
  <si>
    <t>AP-BANNER17-TS</t>
  </si>
  <si>
    <t>Banner, Tropical Sno 2017</t>
  </si>
  <si>
    <t>AC-QB-TS-17</t>
  </si>
  <si>
    <t>Quart Pour Bottles - Tropical Sno Branded 2017 (with Labels &amp; Caps)</t>
  </si>
  <si>
    <t>Cap, Logo, Trucker Snapback, Orange</t>
  </si>
  <si>
    <t>Men's T-Shirt, Heather Blue, Large</t>
  </si>
  <si>
    <t>Men's T-Shirt, Heather Blue, Medium</t>
  </si>
  <si>
    <t>Men's T-Shirt, Heather Blue, Small</t>
  </si>
  <si>
    <t>Men's T-Shirt, Heather Blue, X-Large</t>
  </si>
  <si>
    <t>Men's T-Shirt, Heather Blue, XX-Large</t>
  </si>
  <si>
    <t>AP-OYS17-KIT</t>
  </si>
  <si>
    <t>Tropical Sno Open Sign Kit, Correx 2017, 22"x31"</t>
  </si>
  <si>
    <t>AP-HERO17-DC-24</t>
  </si>
  <si>
    <t>AP-HERO17-DC-36</t>
  </si>
  <si>
    <t>AP-HERO17-DC-48</t>
  </si>
  <si>
    <t>AP-LIFE-DC-24</t>
  </si>
  <si>
    <t>AP-LIFE-DC-36</t>
  </si>
  <si>
    <t>AP-LIFE-DC-48</t>
  </si>
  <si>
    <t>Hero Decal Die Cut - 24" x 14"</t>
  </si>
  <si>
    <t>Hero Decal Die Cut - 48" x 28"</t>
  </si>
  <si>
    <t>Life is Good Decal Die Cut - 24" x 15"</t>
  </si>
  <si>
    <t>Life is Good Decal Die Cut - 36" x 22"</t>
  </si>
  <si>
    <t>Life is Good Decal Die Cut - 48" x 29"</t>
  </si>
  <si>
    <t>Logo Decal 24"x6" + Wave and Sun 9.6" Ø</t>
  </si>
  <si>
    <t>Logo Decal 36"x9" + Wave and Sun 14.4" Ø</t>
  </si>
  <si>
    <t>Logo Decal 48"x12" + Wave and Sun 19.2" Ø</t>
  </si>
  <si>
    <t>Logo Decal 60"x15" + Wave and Sun 24" Ø</t>
  </si>
  <si>
    <t>Hero Decal Die Cut - 36" x 22"</t>
  </si>
  <si>
    <t>AP-TW-PALM-L</t>
  </si>
  <si>
    <t>AP-TW-PALM-R</t>
  </si>
  <si>
    <t>AP-TW-SUMA-L</t>
  </si>
  <si>
    <t>AP-TW-SUMA-R</t>
  </si>
  <si>
    <t>AP-TW-SUFE-L</t>
  </si>
  <si>
    <t>AP-TW-SUFE-R</t>
  </si>
  <si>
    <t>AP-TW-WOOD-L</t>
  </si>
  <si>
    <t>AP-TW-WOOD-R</t>
  </si>
  <si>
    <t>Trailer Wrap - Palms - Left - 60" x 90"</t>
  </si>
  <si>
    <t>Trailer Wrap - Palms - Right - 60" x 90"</t>
  </si>
  <si>
    <t>Trailer Wrap - Surfer Male - Left - 60" x 90"</t>
  </si>
  <si>
    <t>Trailer Wrap - Surfer Male - Right - 60" x 90"</t>
  </si>
  <si>
    <t>Trailer Wrap - Surfer Female - Left - 60" x 90"</t>
  </si>
  <si>
    <t>Trailer Wrap - Surfer Female - Right - 60" x 90"</t>
  </si>
  <si>
    <t>Trailer Wrap - Wood Plank - Left - 60" x 90"</t>
  </si>
  <si>
    <t>Trailer Wrap - Wood Plank - Right - 60" x 90"</t>
  </si>
  <si>
    <t>ET-PT610</t>
  </si>
  <si>
    <t>ET-PT710</t>
  </si>
  <si>
    <t>ET-PT714</t>
  </si>
  <si>
    <t>ET-SP614</t>
  </si>
  <si>
    <t>Trailer - Concession 6x10</t>
  </si>
  <si>
    <t>Trailer - Concession 7x10</t>
  </si>
  <si>
    <t>Trailer - Concession 7x14</t>
  </si>
  <si>
    <t>Trailer - Blue Concession 6x14</t>
  </si>
  <si>
    <t>P-100-37-S</t>
  </si>
  <si>
    <t>Set Screw for Brake Adjustment</t>
  </si>
  <si>
    <t>CP-SPOONS-CM</t>
  </si>
  <si>
    <t>Spoon, 7" Color Change, Tropical Sno, 4 color (2000 / case)</t>
  </si>
  <si>
    <t>CL-HAT-HG</t>
  </si>
  <si>
    <t>Cap, Logo, Trucker Snapback, Heather Gray</t>
  </si>
  <si>
    <t>CL-HAT-LB</t>
  </si>
  <si>
    <t>Cap, Logo, Trucker Snapback, Light Blue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</si>
</sst>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$-409]\ #,##0"/>
    <numFmt numFmtId="165" formatCode="&quot;$&quot;#,##0.00"/>
    <numFmt numFmtId="166" formatCode="mm/dd/yy;@"/>
    <numFmt numFmtId="167" formatCode="h:mm;@"/>
    <numFmt numFmtId="168" formatCode="[$-409]mmmm\ d\,\ yyyy;@"/>
    <numFmt numFmtId="169" formatCode="#,##0.0000"/>
    <numFmt numFmtId="170" formatCode="[$$-409]\ #,##0.00"/>
  </numFmts>
  <fonts count="40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sz val="10"/>
      <color indexed="9"/>
      <name val="Arial"/>
      <family val="2"/>
    </font>
    <font>
      <u/>
      <sz val="10"/>
      <color indexed="12"/>
      <name val="Arial"/>
      <family val="2"/>
    </font>
    <font>
      <b/>
      <sz val="10"/>
      <name val="Arial"/>
      <family val="2"/>
    </font>
    <font>
      <sz val="10"/>
      <name val="Arial Black"/>
      <family val="2"/>
    </font>
    <font>
      <b/>
      <u/>
      <sz val="12"/>
      <name val="Arial Black"/>
      <family val="2"/>
    </font>
    <font>
      <b/>
      <sz val="14"/>
      <name val="Arial Black"/>
      <family val="2"/>
    </font>
    <font>
      <i/>
      <sz val="8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b/>
      <sz val="16"/>
      <name val="Lithograph"/>
    </font>
    <font>
      <b/>
      <sz val="8"/>
      <color indexed="9"/>
      <name val="Arial"/>
      <family val="2"/>
    </font>
    <font>
      <b/>
      <sz val="8"/>
      <color indexed="9"/>
      <name val="Arial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b/>
      <sz val="10"/>
      <name val="Arial"/>
      <family val="2"/>
    </font>
    <font>
      <sz val="8"/>
      <color indexed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rgb="FFFFFF00"/>
      <name val="Arial"/>
      <family val="2"/>
    </font>
    <font>
      <b/>
      <i/>
      <sz val="8"/>
      <color rgb="FFC00000"/>
      <name val="Arial"/>
      <family val="2"/>
    </font>
    <font>
      <b/>
      <i/>
      <sz val="10"/>
      <color rgb="FFC00000"/>
      <name val="Arial"/>
      <family val="2"/>
    </font>
    <font>
      <sz val="14"/>
      <name val="Arial Black"/>
      <family val="2"/>
    </font>
    <font>
      <i/>
      <sz val="8"/>
      <color theme="0" tint="-0.499984740745262"/>
      <name val="Arial"/>
      <family val="2"/>
    </font>
    <font>
      <sz val="10"/>
      <color theme="0" tint="-0.499984740745262"/>
      <name val="Arial"/>
      <family val="2"/>
    </font>
    <font>
      <i/>
      <sz val="8"/>
      <color rgb="FFC00000"/>
      <name val="Arial"/>
      <family val="2"/>
    </font>
    <font>
      <b/>
      <sz val="12"/>
      <color rgb="FFC00000"/>
      <name val="Arial"/>
      <family val="2"/>
    </font>
    <font>
      <sz val="10"/>
      <color rgb="FFC00000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b/>
      <i/>
      <sz val="10"/>
      <name val="Arial"/>
      <family val="2"/>
    </font>
    <font>
      <b/>
      <sz val="10"/>
      <name val="Wingdings"/>
      <charset val="2"/>
    </font>
    <font>
      <i/>
      <sz val="1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indexed="8"/>
        <bgColor indexed="8"/>
      </patternFill>
    </fill>
    <fill>
      <patternFill patternType="solid">
        <fgColor indexed="65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8"/>
        <bgColor indexed="10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1" tint="0.499984740745262"/>
        <bgColor indexed="64"/>
      </patternFill>
    </fill>
  </fills>
  <borders count="19">
    <border>
      <left/>
      <right/>
      <top/>
      <bottom/>
      <diagonal/>
    </border>
    <border>
      <left/>
      <right/>
      <top style="double">
        <color indexed="1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55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13">
    <xf numFmtId="0" fontId="0" fillId="0" borderId="0"/>
    <xf numFmtId="3" fontId="2" fillId="2" borderId="0"/>
    <xf numFmtId="164" fontId="2" fillId="2" borderId="0"/>
    <xf numFmtId="0" fontId="2" fillId="2" borderId="0"/>
    <xf numFmtId="2" fontId="2" fillId="2" borderId="0"/>
    <xf numFmtId="0" fontId="13" fillId="2" borderId="0"/>
    <xf numFmtId="0" fontId="14" fillId="2" borderId="0"/>
    <xf numFmtId="0" fontId="7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" fillId="0" borderId="0"/>
    <xf numFmtId="0" fontId="2" fillId="2" borderId="1"/>
    <xf numFmtId="0" fontId="1" fillId="0" borderId="0"/>
  </cellStyleXfs>
  <cellXfs count="343">
    <xf numFmtId="0" fontId="0" fillId="0" borderId="0" xfId="0"/>
    <xf numFmtId="0" fontId="2" fillId="0" borderId="0" xfId="8" applyFill="1" applyBorder="1"/>
    <xf numFmtId="0" fontId="11" fillId="0" borderId="0" xfId="8" applyFont="1" applyFill="1" applyBorder="1" applyAlignment="1">
      <alignment horizontal="centerContinuous"/>
    </xf>
    <xf numFmtId="0" fontId="15" fillId="0" borderId="0" xfId="8" applyFont="1" applyFill="1" applyBorder="1" applyAlignment="1">
      <alignment horizontal="centerContinuous"/>
    </xf>
    <xf numFmtId="0" fontId="2" fillId="0" borderId="0" xfId="8" applyFill="1" applyBorder="1" applyAlignment="1">
      <alignment horizontal="centerContinuous"/>
    </xf>
    <xf numFmtId="0" fontId="2" fillId="0" borderId="0" xfId="8" applyFill="1"/>
    <xf numFmtId="0" fontId="3" fillId="4" borderId="2" xfId="8" applyFont="1" applyFill="1" applyBorder="1"/>
    <xf numFmtId="0" fontId="16" fillId="4" borderId="3" xfId="8" applyFont="1" applyFill="1" applyBorder="1" applyAlignment="1">
      <alignment horizontal="centerContinuous"/>
    </xf>
    <xf numFmtId="0" fontId="16" fillId="4" borderId="3" xfId="8" applyFont="1" applyFill="1" applyBorder="1" applyAlignment="1">
      <alignment horizontal="center"/>
    </xf>
    <xf numFmtId="0" fontId="17" fillId="4" borderId="4" xfId="8" applyFont="1" applyFill="1" applyBorder="1" applyAlignment="1">
      <alignment horizontal="center"/>
    </xf>
    <xf numFmtId="0" fontId="3" fillId="4" borderId="5" xfId="8" applyFont="1" applyFill="1" applyBorder="1"/>
    <xf numFmtId="0" fontId="3" fillId="0" borderId="6" xfId="8" applyFont="1" applyFill="1" applyBorder="1" applyAlignment="1">
      <alignment horizontal="center"/>
    </xf>
    <xf numFmtId="0" fontId="3" fillId="0" borderId="7" xfId="8" applyFont="1" applyFill="1" applyBorder="1" applyAlignment="1">
      <alignment horizontal="center"/>
    </xf>
    <xf numFmtId="0" fontId="18" fillId="0" borderId="0" xfId="8" applyFont="1" applyFill="1" applyBorder="1" applyAlignment="1">
      <alignment horizontal="left"/>
    </xf>
    <xf numFmtId="0" fontId="19" fillId="0" borderId="0" xfId="8" applyFont="1" applyFill="1" applyBorder="1" applyAlignment="1">
      <alignment horizontal="left"/>
    </xf>
    <xf numFmtId="0" fontId="20" fillId="0" borderId="0" xfId="8" applyFont="1" applyFill="1" applyBorder="1" applyAlignment="1">
      <alignment horizontal="left"/>
    </xf>
    <xf numFmtId="0" fontId="21" fillId="4" borderId="2" xfId="8" applyFont="1" applyFill="1" applyBorder="1"/>
    <xf numFmtId="0" fontId="16" fillId="4" borderId="4" xfId="8" applyFont="1" applyFill="1" applyBorder="1" applyAlignment="1">
      <alignment horizontal="centerContinuous"/>
    </xf>
    <xf numFmtId="0" fontId="3" fillId="4" borderId="8" xfId="8" applyFont="1" applyFill="1" applyBorder="1"/>
    <xf numFmtId="0" fontId="3" fillId="0" borderId="6" xfId="8" applyFont="1" applyFill="1" applyBorder="1"/>
    <xf numFmtId="0" fontId="3" fillId="0" borderId="9" xfId="8" applyFont="1" applyFill="1" applyBorder="1" applyAlignment="1">
      <alignment horizontal="centerContinuous"/>
    </xf>
    <xf numFmtId="0" fontId="3" fillId="0" borderId="6" xfId="8" applyFont="1" applyFill="1" applyBorder="1" applyAlignment="1">
      <alignment horizontal="left"/>
    </xf>
    <xf numFmtId="165" fontId="3" fillId="0" borderId="6" xfId="8" applyNumberFormat="1" applyFont="1" applyFill="1" applyBorder="1" applyAlignment="1">
      <alignment horizontal="right" indent="1"/>
    </xf>
    <xf numFmtId="165" fontId="3" fillId="0" borderId="9" xfId="8" applyNumberFormat="1" applyFont="1" applyFill="1" applyBorder="1" applyAlignment="1">
      <alignment horizontal="right" indent="1"/>
    </xf>
    <xf numFmtId="0" fontId="3" fillId="0" borderId="2" xfId="8" applyFont="1" applyFill="1" applyBorder="1"/>
    <xf numFmtId="0" fontId="3" fillId="0" borderId="10" xfId="8" applyFont="1" applyFill="1" applyBorder="1" applyAlignment="1">
      <alignment horizontal="centerContinuous"/>
    </xf>
    <xf numFmtId="0" fontId="3" fillId="0" borderId="2" xfId="8" applyFont="1" applyFill="1" applyBorder="1" applyAlignment="1">
      <alignment horizontal="left"/>
    </xf>
    <xf numFmtId="0" fontId="3" fillId="4" borderId="6" xfId="8" applyFont="1" applyFill="1" applyBorder="1"/>
    <xf numFmtId="0" fontId="3" fillId="4" borderId="11" xfId="8" applyFont="1" applyFill="1" applyBorder="1" applyAlignment="1">
      <alignment horizontal="centerContinuous"/>
    </xf>
    <xf numFmtId="0" fontId="3" fillId="4" borderId="11" xfId="8" applyFont="1" applyFill="1" applyBorder="1" applyAlignment="1">
      <alignment horizontal="left"/>
    </xf>
    <xf numFmtId="0" fontId="3" fillId="4" borderId="6" xfId="8" applyFont="1" applyFill="1" applyBorder="1" applyAlignment="1">
      <alignment horizontal="centerContinuous"/>
    </xf>
    <xf numFmtId="165" fontId="3" fillId="4" borderId="9" xfId="8" applyNumberFormat="1" applyFont="1" applyFill="1" applyBorder="1" applyAlignment="1">
      <alignment horizontal="right" indent="1"/>
    </xf>
    <xf numFmtId="0" fontId="3" fillId="0" borderId="0" xfId="8" applyFont="1" applyFill="1" applyBorder="1"/>
    <xf numFmtId="0" fontId="3" fillId="0" borderId="0" xfId="8" applyFont="1" applyFill="1" applyBorder="1" applyAlignment="1">
      <alignment horizontal="centerContinuous"/>
    </xf>
    <xf numFmtId="0" fontId="3" fillId="0" borderId="0" xfId="8" applyFont="1" applyFill="1" applyBorder="1" applyAlignment="1">
      <alignment horizontal="left"/>
    </xf>
    <xf numFmtId="0" fontId="3" fillId="0" borderId="0" xfId="8" applyFont="1" applyFill="1" applyBorder="1" applyAlignment="1">
      <alignment horizontal="center"/>
    </xf>
    <xf numFmtId="0" fontId="2" fillId="0" borderId="0" xfId="8" applyFill="1" applyBorder="1" applyAlignment="1">
      <alignment horizontal="right" indent="1"/>
    </xf>
    <xf numFmtId="0" fontId="16" fillId="4" borderId="4" xfId="8" applyFont="1" applyFill="1" applyBorder="1" applyAlignment="1">
      <alignment horizontal="center"/>
    </xf>
    <xf numFmtId="165" fontId="3" fillId="4" borderId="6" xfId="8" applyNumberFormat="1" applyFont="1" applyFill="1" applyBorder="1" applyAlignment="1">
      <alignment horizontal="center"/>
    </xf>
    <xf numFmtId="0" fontId="21" fillId="4" borderId="8" xfId="8" applyFont="1" applyFill="1" applyBorder="1"/>
    <xf numFmtId="0" fontId="2" fillId="0" borderId="0" xfId="8" applyFill="1" applyAlignment="1">
      <alignment horizontal="left"/>
    </xf>
    <xf numFmtId="165" fontId="3" fillId="0" borderId="0" xfId="8" applyNumberFormat="1" applyFont="1" applyFill="1" applyAlignment="1">
      <alignment horizontal="center"/>
    </xf>
    <xf numFmtId="0" fontId="2" fillId="0" borderId="0" xfId="8" applyFill="1" applyAlignment="1">
      <alignment horizontal="right" indent="1"/>
    </xf>
    <xf numFmtId="165" fontId="16" fillId="4" borderId="3" xfId="8" applyNumberFormat="1" applyFont="1" applyFill="1" applyBorder="1" applyAlignment="1">
      <alignment horizontal="center"/>
    </xf>
    <xf numFmtId="0" fontId="3" fillId="0" borderId="9" xfId="8" applyFont="1" applyFill="1" applyBorder="1"/>
    <xf numFmtId="0" fontId="3" fillId="0" borderId="9" xfId="8" applyFont="1" applyFill="1" applyBorder="1" applyAlignment="1">
      <alignment horizontal="left"/>
    </xf>
    <xf numFmtId="165" fontId="3" fillId="0" borderId="0" xfId="8" applyNumberFormat="1" applyFont="1" applyFill="1" applyBorder="1" applyAlignment="1">
      <alignment horizontal="center"/>
    </xf>
    <xf numFmtId="0" fontId="21" fillId="0" borderId="0" xfId="8" applyFont="1" applyFill="1" applyBorder="1"/>
    <xf numFmtId="0" fontId="19" fillId="0" borderId="0" xfId="8" applyFont="1" applyFill="1" applyBorder="1" applyAlignment="1">
      <alignment horizontal="centerContinuous"/>
    </xf>
    <xf numFmtId="0" fontId="3" fillId="0" borderId="9" xfId="8" applyFont="1" applyFill="1" applyBorder="1" applyAlignment="1">
      <alignment horizontal="center"/>
    </xf>
    <xf numFmtId="165" fontId="3" fillId="4" borderId="6" xfId="8" applyNumberFormat="1" applyFont="1" applyFill="1" applyBorder="1" applyAlignment="1">
      <alignment horizontal="right" indent="1"/>
    </xf>
    <xf numFmtId="0" fontId="3" fillId="0" borderId="0" xfId="8" applyFont="1" applyFill="1" applyBorder="1" applyAlignment="1">
      <alignment horizontal="right" indent="1"/>
    </xf>
    <xf numFmtId="0" fontId="3" fillId="0" borderId="0" xfId="8" applyFont="1" applyFill="1"/>
    <xf numFmtId="0" fontId="2" fillId="0" borderId="0" xfId="8" applyFill="1" applyAlignment="1">
      <alignment horizontal="center"/>
    </xf>
    <xf numFmtId="0" fontId="3" fillId="5" borderId="6" xfId="8" applyFont="1" applyFill="1" applyBorder="1" applyAlignment="1" applyProtection="1">
      <alignment horizontal="center"/>
      <protection locked="0"/>
    </xf>
    <xf numFmtId="165" fontId="3" fillId="4" borderId="2" xfId="8" applyNumberFormat="1" applyFont="1" applyFill="1" applyBorder="1" applyAlignment="1"/>
    <xf numFmtId="165" fontId="3" fillId="4" borderId="10" xfId="8" applyNumberFormat="1" applyFont="1" applyFill="1" applyBorder="1" applyAlignment="1">
      <alignment horizontal="right" indent="1"/>
    </xf>
    <xf numFmtId="0" fontId="3" fillId="4" borderId="3" xfId="8" applyFont="1" applyFill="1" applyBorder="1" applyAlignment="1">
      <alignment horizontal="centerContinuous"/>
    </xf>
    <xf numFmtId="0" fontId="3" fillId="4" borderId="3" xfId="8" applyFont="1" applyFill="1" applyBorder="1" applyAlignment="1">
      <alignment horizontal="left"/>
    </xf>
    <xf numFmtId="0" fontId="3" fillId="4" borderId="2" xfId="8" applyFont="1" applyFill="1" applyBorder="1" applyAlignment="1">
      <alignment horizontal="centerContinuous"/>
    </xf>
    <xf numFmtId="0" fontId="3" fillId="4" borderId="5" xfId="8" applyFont="1" applyFill="1" applyBorder="1" applyAlignment="1">
      <alignment horizontal="centerContinuous"/>
    </xf>
    <xf numFmtId="165" fontId="3" fillId="4" borderId="5" xfId="8" applyNumberFormat="1" applyFont="1" applyFill="1" applyBorder="1" applyAlignment="1">
      <alignment horizontal="right" indent="1"/>
    </xf>
    <xf numFmtId="0" fontId="3" fillId="4" borderId="12" xfId="8" applyFont="1" applyFill="1" applyBorder="1" applyAlignment="1">
      <alignment horizontal="centerContinuous"/>
    </xf>
    <xf numFmtId="0" fontId="3" fillId="4" borderId="12" xfId="8" applyFont="1" applyFill="1" applyBorder="1" applyAlignment="1">
      <alignment horizontal="left"/>
    </xf>
    <xf numFmtId="0" fontId="3" fillId="0" borderId="0" xfId="0" applyFont="1"/>
    <xf numFmtId="0" fontId="3" fillId="0" borderId="0" xfId="0" applyFont="1" applyFill="1"/>
    <xf numFmtId="0" fontId="22" fillId="0" borderId="0" xfId="0" applyFont="1" applyFill="1"/>
    <xf numFmtId="0" fontId="3" fillId="0" borderId="0" xfId="0" applyFont="1" applyFill="1" applyAlignment="1">
      <alignment vertical="center"/>
    </xf>
    <xf numFmtId="0" fontId="2" fillId="3" borderId="0" xfId="10" applyFill="1"/>
    <xf numFmtId="0" fontId="5" fillId="3" borderId="0" xfId="10" applyFont="1" applyFill="1" applyBorder="1" applyAlignment="1">
      <alignment horizontal="centerContinuous"/>
    </xf>
    <xf numFmtId="0" fontId="6" fillId="3" borderId="0" xfId="10" applyFont="1" applyFill="1" applyBorder="1" applyAlignment="1">
      <alignment horizontal="centerContinuous"/>
    </xf>
    <xf numFmtId="0" fontId="3" fillId="3" borderId="0" xfId="10" applyFont="1" applyFill="1" applyBorder="1" applyAlignment="1">
      <alignment horizontal="left"/>
    </xf>
    <xf numFmtId="0" fontId="3" fillId="3" borderId="0" xfId="10" applyFont="1" applyFill="1" applyBorder="1"/>
    <xf numFmtId="0" fontId="4" fillId="4" borderId="2" xfId="10" applyFont="1" applyFill="1" applyBorder="1"/>
    <xf numFmtId="0" fontId="6" fillId="4" borderId="3" xfId="10" applyFont="1" applyFill="1" applyBorder="1"/>
    <xf numFmtId="0" fontId="4" fillId="4" borderId="3" xfId="10" applyFont="1" applyFill="1" applyBorder="1"/>
    <xf numFmtId="0" fontId="4" fillId="4" borderId="4" xfId="10" applyFont="1" applyFill="1" applyBorder="1"/>
    <xf numFmtId="0" fontId="2" fillId="4" borderId="8" xfId="10" applyFill="1" applyBorder="1"/>
    <xf numFmtId="0" fontId="3" fillId="6" borderId="2" xfId="10" applyFont="1" applyFill="1" applyBorder="1"/>
    <xf numFmtId="0" fontId="3" fillId="6" borderId="3" xfId="10" applyFont="1" applyFill="1" applyBorder="1"/>
    <xf numFmtId="0" fontId="2" fillId="6" borderId="4" xfId="10" applyFill="1" applyBorder="1"/>
    <xf numFmtId="0" fontId="2" fillId="6" borderId="3" xfId="10" applyFill="1" applyBorder="1"/>
    <xf numFmtId="0" fontId="3" fillId="6" borderId="4" xfId="10" applyFont="1" applyFill="1" applyBorder="1"/>
    <xf numFmtId="0" fontId="2" fillId="4" borderId="13" xfId="10" applyFill="1" applyBorder="1"/>
    <xf numFmtId="0" fontId="2" fillId="4" borderId="5" xfId="10" applyFill="1" applyBorder="1"/>
    <xf numFmtId="0" fontId="2" fillId="4" borderId="14" xfId="10" applyFill="1" applyBorder="1"/>
    <xf numFmtId="0" fontId="2" fillId="4" borderId="2" xfId="10" applyFill="1" applyBorder="1"/>
    <xf numFmtId="0" fontId="4" fillId="7" borderId="3" xfId="10" applyFont="1" applyFill="1" applyBorder="1"/>
    <xf numFmtId="0" fontId="4" fillId="2" borderId="3" xfId="10" applyFont="1" applyFill="1" applyBorder="1"/>
    <xf numFmtId="0" fontId="2" fillId="4" borderId="4" xfId="10" applyFill="1" applyBorder="1"/>
    <xf numFmtId="0" fontId="2" fillId="4" borderId="3" xfId="10" applyFill="1" applyBorder="1"/>
    <xf numFmtId="0" fontId="3" fillId="6" borderId="2" xfId="10" applyFont="1" applyFill="1" applyBorder="1" applyAlignment="1">
      <alignment vertical="center"/>
    </xf>
    <xf numFmtId="0" fontId="2" fillId="6" borderId="3" xfId="10" applyFill="1" applyBorder="1" applyAlignment="1">
      <alignment vertical="center"/>
    </xf>
    <xf numFmtId="0" fontId="3" fillId="6" borderId="3" xfId="10" applyFont="1" applyFill="1" applyBorder="1" applyAlignment="1">
      <alignment vertical="center"/>
    </xf>
    <xf numFmtId="0" fontId="3" fillId="6" borderId="4" xfId="10" applyFont="1" applyFill="1" applyBorder="1" applyAlignment="1">
      <alignment vertical="center"/>
    </xf>
    <xf numFmtId="0" fontId="3" fillId="3" borderId="0" xfId="10" applyFont="1" applyFill="1"/>
    <xf numFmtId="0" fontId="2" fillId="3" borderId="0" xfId="9" applyFill="1" applyBorder="1"/>
    <xf numFmtId="0" fontId="11" fillId="3" borderId="0" xfId="9" applyFont="1" applyFill="1" applyBorder="1" applyAlignment="1">
      <alignment horizontal="centerContinuous"/>
    </xf>
    <xf numFmtId="0" fontId="15" fillId="3" borderId="0" xfId="9" applyFont="1" applyFill="1" applyBorder="1" applyAlignment="1">
      <alignment horizontal="centerContinuous"/>
    </xf>
    <xf numFmtId="0" fontId="2" fillId="3" borderId="0" xfId="9" applyFill="1" applyBorder="1" applyAlignment="1">
      <alignment horizontal="centerContinuous"/>
    </xf>
    <xf numFmtId="0" fontId="2" fillId="3" borderId="0" xfId="9" applyFill="1"/>
    <xf numFmtId="0" fontId="2" fillId="4" borderId="2" xfId="8" applyFill="1" applyBorder="1"/>
    <xf numFmtId="0" fontId="2" fillId="4" borderId="5" xfId="8" applyFill="1" applyBorder="1"/>
    <xf numFmtId="0" fontId="18" fillId="3" borderId="0" xfId="9" applyFont="1" applyFill="1" applyBorder="1" applyAlignment="1">
      <alignment horizontal="left"/>
    </xf>
    <xf numFmtId="0" fontId="19" fillId="3" borderId="0" xfId="9" applyFont="1" applyFill="1" applyBorder="1" applyAlignment="1">
      <alignment horizontal="left"/>
    </xf>
    <xf numFmtId="0" fontId="20" fillId="3" borderId="0" xfId="9" applyFont="1" applyFill="1" applyBorder="1" applyAlignment="1">
      <alignment horizontal="left"/>
    </xf>
    <xf numFmtId="0" fontId="21" fillId="4" borderId="2" xfId="9" applyFont="1" applyFill="1" applyBorder="1"/>
    <xf numFmtId="0" fontId="16" fillId="4" borderId="3" xfId="9" applyFont="1" applyFill="1" applyBorder="1" applyAlignment="1">
      <alignment horizontal="centerContinuous"/>
    </xf>
    <xf numFmtId="0" fontId="16" fillId="4" borderId="3" xfId="9" applyFont="1" applyFill="1" applyBorder="1" applyAlignment="1">
      <alignment horizontal="center"/>
    </xf>
    <xf numFmtId="0" fontId="16" fillId="4" borderId="4" xfId="9" applyFont="1" applyFill="1" applyBorder="1" applyAlignment="1">
      <alignment horizontal="centerContinuous"/>
    </xf>
    <xf numFmtId="0" fontId="3" fillId="4" borderId="8" xfId="9" applyFont="1" applyFill="1" applyBorder="1"/>
    <xf numFmtId="0" fontId="3" fillId="3" borderId="9" xfId="9" applyFont="1" applyFill="1" applyBorder="1"/>
    <xf numFmtId="0" fontId="3" fillId="3" borderId="9" xfId="9" applyFont="1" applyFill="1" applyBorder="1" applyAlignment="1">
      <alignment horizontal="center"/>
    </xf>
    <xf numFmtId="0" fontId="3" fillId="3" borderId="9" xfId="9" applyFont="1" applyFill="1" applyBorder="1" applyAlignment="1">
      <alignment horizontal="left"/>
    </xf>
    <xf numFmtId="0" fontId="2" fillId="4" borderId="8" xfId="8" applyFill="1" applyBorder="1"/>
    <xf numFmtId="0" fontId="2" fillId="4" borderId="3" xfId="8" applyFill="1" applyBorder="1"/>
    <xf numFmtId="0" fontId="2" fillId="4" borderId="3" xfId="8" applyFill="1" applyBorder="1" applyAlignment="1">
      <alignment horizontal="left"/>
    </xf>
    <xf numFmtId="0" fontId="2" fillId="4" borderId="2" xfId="8" applyFill="1" applyBorder="1" applyAlignment="1">
      <alignment horizontal="centerContinuous"/>
    </xf>
    <xf numFmtId="165" fontId="2" fillId="4" borderId="2" xfId="8" applyNumberFormat="1" applyFill="1" applyBorder="1" applyAlignment="1"/>
    <xf numFmtId="0" fontId="3" fillId="3" borderId="0" xfId="9" applyFont="1" applyFill="1" applyBorder="1"/>
    <xf numFmtId="0" fontId="3" fillId="3" borderId="0" xfId="9" applyFont="1" applyFill="1" applyBorder="1" applyAlignment="1">
      <alignment horizontal="center"/>
    </xf>
    <xf numFmtId="165" fontId="3" fillId="3" borderId="0" xfId="9" applyNumberFormat="1" applyFont="1" applyFill="1" applyBorder="1"/>
    <xf numFmtId="0" fontId="2" fillId="3" borderId="0" xfId="9" applyFill="1" applyBorder="1" applyAlignment="1">
      <alignment horizontal="center"/>
    </xf>
    <xf numFmtId="165" fontId="16" fillId="4" borderId="3" xfId="9" applyNumberFormat="1" applyFont="1" applyFill="1" applyBorder="1" applyAlignment="1">
      <alignment horizontal="centerContinuous"/>
    </xf>
    <xf numFmtId="0" fontId="3" fillId="3" borderId="9" xfId="9" applyFont="1" applyFill="1" applyBorder="1" applyAlignment="1">
      <alignment horizontal="centerContinuous"/>
    </xf>
    <xf numFmtId="0" fontId="21" fillId="3" borderId="0" xfId="9" applyFont="1" applyFill="1" applyBorder="1"/>
    <xf numFmtId="0" fontId="19" fillId="3" borderId="0" xfId="9" applyFont="1" applyFill="1" applyBorder="1" applyAlignment="1">
      <alignment horizontal="centerContinuous"/>
    </xf>
    <xf numFmtId="0" fontId="2" fillId="3" borderId="0" xfId="9" applyFill="1" applyAlignment="1">
      <alignment horizontal="left"/>
    </xf>
    <xf numFmtId="0" fontId="3" fillId="3" borderId="0" xfId="9" applyFont="1" applyFill="1" applyBorder="1" applyAlignment="1">
      <alignment horizontal="centerContinuous"/>
    </xf>
    <xf numFmtId="0" fontId="2" fillId="4" borderId="12" xfId="8" applyFill="1" applyBorder="1"/>
    <xf numFmtId="0" fontId="2" fillId="4" borderId="12" xfId="8" applyFill="1" applyBorder="1" applyAlignment="1">
      <alignment horizontal="left"/>
    </xf>
    <xf numFmtId="0" fontId="12" fillId="3" borderId="15" xfId="10" applyFont="1" applyFill="1" applyBorder="1" applyAlignment="1">
      <alignment horizontal="centerContinuous"/>
    </xf>
    <xf numFmtId="0" fontId="3" fillId="0" borderId="9" xfId="0" applyFont="1" applyBorder="1"/>
    <xf numFmtId="165" fontId="3" fillId="8" borderId="9" xfId="8" applyNumberFormat="1" applyFont="1" applyFill="1" applyBorder="1" applyAlignment="1">
      <alignment horizontal="right" indent="1"/>
    </xf>
    <xf numFmtId="165" fontId="3" fillId="5" borderId="6" xfId="8" applyNumberFormat="1" applyFont="1" applyFill="1" applyBorder="1" applyAlignment="1" applyProtection="1">
      <alignment horizontal="right" indent="1"/>
      <protection locked="0"/>
    </xf>
    <xf numFmtId="0" fontId="3" fillId="5" borderId="6" xfId="8" applyFont="1" applyFill="1" applyBorder="1" applyAlignment="1" applyProtection="1">
      <alignment horizontal="left"/>
      <protection locked="0"/>
    </xf>
    <xf numFmtId="165" fontId="16" fillId="4" borderId="3" xfId="8" applyNumberFormat="1" applyFont="1" applyFill="1" applyBorder="1" applyAlignment="1">
      <alignment horizontal="centerContinuous"/>
    </xf>
    <xf numFmtId="0" fontId="22" fillId="9" borderId="6" xfId="8" applyFont="1" applyFill="1" applyBorder="1"/>
    <xf numFmtId="0" fontId="22" fillId="9" borderId="9" xfId="8" applyFont="1" applyFill="1" applyBorder="1" applyAlignment="1">
      <alignment horizontal="centerContinuous"/>
    </xf>
    <xf numFmtId="0" fontId="3" fillId="9" borderId="6" xfId="8" applyFont="1" applyFill="1" applyBorder="1" applyAlignment="1">
      <alignment horizontal="left"/>
    </xf>
    <xf numFmtId="0" fontId="3" fillId="9" borderId="11" xfId="8" applyFont="1" applyFill="1" applyBorder="1" applyAlignment="1">
      <alignment horizontal="centerContinuous"/>
    </xf>
    <xf numFmtId="0" fontId="18" fillId="9" borderId="7" xfId="8" applyFont="1" applyFill="1" applyBorder="1" applyAlignment="1">
      <alignment horizontal="right" indent="1"/>
    </xf>
    <xf numFmtId="165" fontId="22" fillId="9" borderId="9" xfId="8" applyNumberFormat="1" applyFont="1" applyFill="1" applyBorder="1" applyAlignment="1">
      <alignment horizontal="right" indent="1"/>
    </xf>
    <xf numFmtId="0" fontId="22" fillId="9" borderId="6" xfId="8" applyFont="1" applyFill="1" applyBorder="1" applyAlignment="1">
      <alignment horizontal="centerContinuous"/>
    </xf>
    <xf numFmtId="0" fontId="22" fillId="9" borderId="2" xfId="8" applyFont="1" applyFill="1" applyBorder="1"/>
    <xf numFmtId="1" fontId="22" fillId="9" borderId="10" xfId="8" applyNumberFormat="1" applyFont="1" applyFill="1" applyBorder="1" applyAlignment="1">
      <alignment horizontal="center"/>
    </xf>
    <xf numFmtId="0" fontId="3" fillId="9" borderId="3" xfId="8" applyFont="1" applyFill="1" applyBorder="1" applyAlignment="1">
      <alignment horizontal="left"/>
    </xf>
    <xf numFmtId="0" fontId="3" fillId="9" borderId="3" xfId="8" applyFont="1" applyFill="1" applyBorder="1" applyAlignment="1">
      <alignment horizontal="centerContinuous"/>
    </xf>
    <xf numFmtId="0" fontId="2" fillId="9" borderId="4" xfId="8" applyFill="1" applyBorder="1"/>
    <xf numFmtId="0" fontId="22" fillId="9" borderId="6" xfId="8" applyFont="1" applyFill="1" applyBorder="1" applyAlignment="1">
      <alignment horizontal="right"/>
    </xf>
    <xf numFmtId="0" fontId="22" fillId="9" borderId="11" xfId="8" applyFont="1" applyFill="1" applyBorder="1"/>
    <xf numFmtId="0" fontId="2" fillId="9" borderId="3" xfId="8" applyFill="1" applyBorder="1" applyAlignment="1">
      <alignment horizontal="left"/>
    </xf>
    <xf numFmtId="0" fontId="2" fillId="9" borderId="3" xfId="8" applyFill="1" applyBorder="1"/>
    <xf numFmtId="165" fontId="22" fillId="9" borderId="10" xfId="8" applyNumberFormat="1" applyFont="1" applyFill="1" applyBorder="1" applyAlignment="1">
      <alignment horizontal="right" indent="1"/>
    </xf>
    <xf numFmtId="0" fontId="24" fillId="0" borderId="0" xfId="8" applyFont="1" applyFill="1"/>
    <xf numFmtId="0" fontId="24" fillId="3" borderId="0" xfId="9" applyFont="1" applyFill="1"/>
    <xf numFmtId="49" fontId="2" fillId="3" borderId="0" xfId="10" applyNumberFormat="1" applyFont="1" applyFill="1"/>
    <xf numFmtId="4" fontId="24" fillId="0" borderId="0" xfId="8" applyNumberFormat="1" applyFont="1" applyFill="1" applyBorder="1"/>
    <xf numFmtId="4" fontId="24" fillId="4" borderId="10" xfId="8" applyNumberFormat="1" applyFont="1" applyFill="1" applyBorder="1" applyAlignment="1">
      <alignment horizontal="right" indent="1"/>
    </xf>
    <xf numFmtId="4" fontId="24" fillId="3" borderId="0" xfId="9" applyNumberFormat="1" applyFont="1" applyFill="1"/>
    <xf numFmtId="4" fontId="24" fillId="0" borderId="0" xfId="8" applyNumberFormat="1" applyFont="1" applyFill="1"/>
    <xf numFmtId="4" fontId="3" fillId="4" borderId="9" xfId="8" applyNumberFormat="1" applyFont="1" applyFill="1" applyBorder="1" applyAlignment="1">
      <alignment horizontal="right" indent="1"/>
    </xf>
    <xf numFmtId="165" fontId="3" fillId="0" borderId="5" xfId="8" applyNumberFormat="1" applyFont="1" applyFill="1" applyBorder="1" applyAlignment="1">
      <alignment horizontal="right" indent="1"/>
    </xf>
    <xf numFmtId="165" fontId="3" fillId="0" borderId="0" xfId="8" applyNumberFormat="1" applyFont="1" applyFill="1" applyBorder="1" applyAlignment="1">
      <alignment horizontal="right" indent="1"/>
    </xf>
    <xf numFmtId="2" fontId="24" fillId="3" borderId="0" xfId="9" applyNumberFormat="1" applyFont="1" applyFill="1"/>
    <xf numFmtId="0" fontId="3" fillId="0" borderId="9" xfId="0" applyFont="1" applyFill="1" applyBorder="1"/>
    <xf numFmtId="0" fontId="2" fillId="3" borderId="0" xfId="10" applyFill="1" applyBorder="1"/>
    <xf numFmtId="0" fontId="2" fillId="3" borderId="12" xfId="10" applyFill="1" applyBorder="1"/>
    <xf numFmtId="0" fontId="3" fillId="3" borderId="12" xfId="10" applyFont="1" applyFill="1" applyBorder="1" applyAlignment="1">
      <alignment horizontal="left"/>
    </xf>
    <xf numFmtId="0" fontId="3" fillId="3" borderId="12" xfId="7" quotePrefix="1" applyFont="1" applyFill="1" applyBorder="1" applyAlignment="1" applyProtection="1"/>
    <xf numFmtId="0" fontId="3" fillId="3" borderId="12" xfId="10" applyFont="1" applyFill="1" applyBorder="1"/>
    <xf numFmtId="0" fontId="9" fillId="3" borderId="0" xfId="10" applyFont="1" applyFill="1" applyBorder="1" applyAlignment="1">
      <alignment horizontal="centerContinuous"/>
    </xf>
    <xf numFmtId="0" fontId="10" fillId="3" borderId="0" xfId="10" applyFont="1" applyFill="1" applyBorder="1" applyAlignment="1">
      <alignment horizontal="centerContinuous"/>
    </xf>
    <xf numFmtId="0" fontId="8" fillId="3" borderId="0" xfId="10" applyFont="1" applyFill="1" applyBorder="1" applyAlignment="1">
      <alignment horizontal="center"/>
    </xf>
    <xf numFmtId="0" fontId="8" fillId="3" borderId="12" xfId="10" applyFont="1" applyFill="1" applyBorder="1" applyAlignment="1">
      <alignment horizontal="center"/>
    </xf>
    <xf numFmtId="0" fontId="8" fillId="3" borderId="0" xfId="10" applyFont="1" applyFill="1" applyBorder="1" applyAlignment="1">
      <alignment horizontal="centerContinuous" vertical="center"/>
    </xf>
    <xf numFmtId="0" fontId="8" fillId="3" borderId="12" xfId="10" applyFont="1" applyFill="1" applyBorder="1" applyAlignment="1">
      <alignment horizontal="centerContinuous" vertical="center"/>
    </xf>
    <xf numFmtId="0" fontId="12" fillId="3" borderId="15" xfId="10" applyFont="1" applyFill="1" applyBorder="1" applyAlignment="1">
      <alignment horizontal="left"/>
    </xf>
    <xf numFmtId="0" fontId="12" fillId="3" borderId="15" xfId="10" applyFont="1" applyFill="1" applyBorder="1" applyAlignment="1">
      <alignment horizontal="right"/>
    </xf>
    <xf numFmtId="168" fontId="12" fillId="3" borderId="15" xfId="10" applyNumberFormat="1" applyFont="1" applyFill="1" applyBorder="1" applyAlignment="1">
      <alignment horizontal="centerContinuous"/>
    </xf>
    <xf numFmtId="0" fontId="12" fillId="3" borderId="15" xfId="10" applyFont="1" applyFill="1" applyBorder="1" applyAlignment="1">
      <alignment horizontal="left" indent="3"/>
    </xf>
    <xf numFmtId="0" fontId="3" fillId="5" borderId="6" xfId="8" applyFont="1" applyFill="1" applyBorder="1" applyAlignment="1" applyProtection="1">
      <alignment horizontal="center"/>
      <protection locked="0"/>
    </xf>
    <xf numFmtId="0" fontId="26" fillId="15" borderId="9" xfId="8" applyFont="1" applyFill="1" applyBorder="1" applyAlignment="1">
      <alignment horizontal="center"/>
    </xf>
    <xf numFmtId="4" fontId="24" fillId="16" borderId="9" xfId="9" applyNumberFormat="1" applyFont="1" applyFill="1" applyBorder="1"/>
    <xf numFmtId="0" fontId="26" fillId="15" borderId="10" xfId="8" applyFont="1" applyFill="1" applyBorder="1" applyAlignment="1">
      <alignment horizontal="center"/>
    </xf>
    <xf numFmtId="4" fontId="24" fillId="17" borderId="9" xfId="8" applyNumberFormat="1" applyFont="1" applyFill="1" applyBorder="1"/>
    <xf numFmtId="4" fontId="24" fillId="16" borderId="16" xfId="9" applyNumberFormat="1" applyFont="1" applyFill="1" applyBorder="1"/>
    <xf numFmtId="4" fontId="24" fillId="4" borderId="9" xfId="8" applyNumberFormat="1" applyFont="1" applyFill="1" applyBorder="1" applyAlignment="1">
      <alignment horizontal="right" indent="1"/>
    </xf>
    <xf numFmtId="4" fontId="24" fillId="13" borderId="9" xfId="8" applyNumberFormat="1" applyFont="1" applyFill="1" applyBorder="1"/>
    <xf numFmtId="4" fontId="24" fillId="19" borderId="9" xfId="8" applyNumberFormat="1" applyFont="1" applyFill="1" applyBorder="1"/>
    <xf numFmtId="4" fontId="24" fillId="19" borderId="9" xfId="9" applyNumberFormat="1" applyFont="1" applyFill="1" applyBorder="1"/>
    <xf numFmtId="0" fontId="26" fillId="4" borderId="9" xfId="8" applyFont="1" applyFill="1" applyBorder="1" applyAlignment="1">
      <alignment horizontal="center"/>
    </xf>
    <xf numFmtId="4" fontId="22" fillId="9" borderId="10" xfId="8" applyNumberFormat="1" applyFont="1" applyFill="1" applyBorder="1" applyAlignment="1"/>
    <xf numFmtId="165" fontId="24" fillId="4" borderId="9" xfId="8" applyNumberFormat="1" applyFont="1" applyFill="1" applyBorder="1" applyAlignment="1">
      <alignment horizontal="right" indent="1"/>
    </xf>
    <xf numFmtId="0" fontId="2" fillId="4" borderId="9" xfId="8" applyFill="1" applyBorder="1"/>
    <xf numFmtId="4" fontId="25" fillId="9" borderId="10" xfId="8" applyNumberFormat="1" applyFont="1" applyFill="1" applyBorder="1" applyAlignment="1"/>
    <xf numFmtId="2" fontId="24" fillId="17" borderId="9" xfId="8" applyNumberFormat="1" applyFont="1" applyFill="1" applyBorder="1"/>
    <xf numFmtId="2" fontId="24" fillId="13" borderId="9" xfId="8" applyNumberFormat="1" applyFont="1" applyFill="1" applyBorder="1"/>
    <xf numFmtId="2" fontId="24" fillId="19" borderId="9" xfId="8" applyNumberFormat="1" applyFont="1" applyFill="1" applyBorder="1"/>
    <xf numFmtId="2" fontId="24" fillId="19" borderId="9" xfId="0" applyNumberFormat="1" applyFont="1" applyFill="1" applyBorder="1"/>
    <xf numFmtId="2" fontId="24" fillId="16" borderId="9" xfId="9" applyNumberFormat="1" applyFont="1" applyFill="1" applyBorder="1"/>
    <xf numFmtId="4" fontId="22" fillId="9" borderId="9" xfId="8" applyNumberFormat="1" applyFont="1" applyFill="1" applyBorder="1" applyAlignment="1"/>
    <xf numFmtId="2" fontId="24" fillId="11" borderId="9" xfId="8" applyNumberFormat="1" applyFont="1" applyFill="1" applyBorder="1" applyProtection="1">
      <protection locked="0"/>
    </xf>
    <xf numFmtId="0" fontId="2" fillId="10" borderId="0" xfId="9" applyFill="1"/>
    <xf numFmtId="0" fontId="2" fillId="16" borderId="9" xfId="9" applyFill="1" applyBorder="1"/>
    <xf numFmtId="0" fontId="2" fillId="10" borderId="2" xfId="9" applyFill="1" applyBorder="1"/>
    <xf numFmtId="0" fontId="2" fillId="10" borderId="4" xfId="9" applyFill="1" applyBorder="1"/>
    <xf numFmtId="0" fontId="2" fillId="10" borderId="8" xfId="9" applyFill="1" applyBorder="1"/>
    <xf numFmtId="0" fontId="2" fillId="10" borderId="13" xfId="9" applyFill="1" applyBorder="1"/>
    <xf numFmtId="0" fontId="2" fillId="10" borderId="5" xfId="9" applyFill="1" applyBorder="1"/>
    <xf numFmtId="0" fontId="2" fillId="10" borderId="14" xfId="9" applyFill="1" applyBorder="1"/>
    <xf numFmtId="0" fontId="2" fillId="16" borderId="6" xfId="9" applyFill="1" applyBorder="1"/>
    <xf numFmtId="0" fontId="2" fillId="16" borderId="7" xfId="9" applyFill="1" applyBorder="1"/>
    <xf numFmtId="0" fontId="24" fillId="16" borderId="9" xfId="8" applyFont="1" applyFill="1" applyBorder="1"/>
    <xf numFmtId="0" fontId="2" fillId="10" borderId="0" xfId="8" applyFill="1"/>
    <xf numFmtId="4" fontId="24" fillId="16" borderId="9" xfId="8" applyNumberFormat="1" applyFont="1" applyFill="1" applyBorder="1"/>
    <xf numFmtId="0" fontId="2" fillId="16" borderId="9" xfId="8" applyFill="1" applyBorder="1"/>
    <xf numFmtId="2" fontId="24" fillId="18" borderId="0" xfId="8" applyNumberFormat="1" applyFont="1" applyFill="1"/>
    <xf numFmtId="165" fontId="3" fillId="20" borderId="9" xfId="8" applyNumberFormat="1" applyFont="1" applyFill="1" applyBorder="1" applyAlignment="1">
      <alignment horizontal="right" indent="1"/>
    </xf>
    <xf numFmtId="2" fontId="24" fillId="19" borderId="9" xfId="9" applyNumberFormat="1" applyFont="1" applyFill="1" applyBorder="1"/>
    <xf numFmtId="0" fontId="4" fillId="15" borderId="10" xfId="10" applyFont="1" applyFill="1" applyBorder="1" applyAlignment="1">
      <alignment horizontal="centerContinuous"/>
    </xf>
    <xf numFmtId="0" fontId="2" fillId="15" borderId="17" xfId="10" applyFill="1" applyBorder="1"/>
    <xf numFmtId="0" fontId="2" fillId="15" borderId="16" xfId="10" applyFill="1" applyBorder="1"/>
    <xf numFmtId="0" fontId="2" fillId="15" borderId="11" xfId="10" applyFill="1" applyBorder="1"/>
    <xf numFmtId="0" fontId="2" fillId="15" borderId="7" xfId="10" applyFill="1" applyBorder="1"/>
    <xf numFmtId="0" fontId="2" fillId="15" borderId="9" xfId="10" applyFill="1" applyBorder="1"/>
    <xf numFmtId="4" fontId="24" fillId="17" borderId="17" xfId="8" applyNumberFormat="1" applyFont="1" applyFill="1" applyBorder="1"/>
    <xf numFmtId="0" fontId="2" fillId="4" borderId="10" xfId="10" applyFill="1" applyBorder="1"/>
    <xf numFmtId="0" fontId="2" fillId="4" borderId="17" xfId="10" applyFill="1" applyBorder="1"/>
    <xf numFmtId="0" fontId="2" fillId="4" borderId="16" xfId="10" applyFill="1" applyBorder="1"/>
    <xf numFmtId="4" fontId="3" fillId="12" borderId="9" xfId="8" applyNumberFormat="1" applyFont="1" applyFill="1" applyBorder="1"/>
    <xf numFmtId="4" fontId="3" fillId="19" borderId="9" xfId="8" applyNumberFormat="1" applyFont="1" applyFill="1" applyBorder="1"/>
    <xf numFmtId="4" fontId="3" fillId="21" borderId="9" xfId="8" applyNumberFormat="1" applyFont="1" applyFill="1" applyBorder="1"/>
    <xf numFmtId="0" fontId="26" fillId="4" borderId="0" xfId="8" applyFont="1" applyFill="1" applyBorder="1" applyAlignment="1">
      <alignment horizontal="center"/>
    </xf>
    <xf numFmtId="0" fontId="3" fillId="5" borderId="6" xfId="8" applyFont="1" applyFill="1" applyBorder="1" applyAlignment="1" applyProtection="1">
      <alignment horizontal="center"/>
      <protection locked="0"/>
    </xf>
    <xf numFmtId="0" fontId="17" fillId="4" borderId="11" xfId="0" applyFont="1" applyFill="1" applyBorder="1" applyAlignment="1">
      <alignment horizontal="center"/>
    </xf>
    <xf numFmtId="0" fontId="16" fillId="4" borderId="11" xfId="0" applyFont="1" applyFill="1" applyBorder="1" applyAlignment="1">
      <alignment horizontal="center"/>
    </xf>
    <xf numFmtId="169" fontId="3" fillId="12" borderId="9" xfId="8" applyNumberFormat="1" applyFont="1" applyFill="1" applyBorder="1"/>
    <xf numFmtId="0" fontId="3" fillId="22" borderId="6" xfId="8" applyFont="1" applyFill="1" applyBorder="1" applyAlignment="1" applyProtection="1">
      <alignment horizontal="center"/>
    </xf>
    <xf numFmtId="4" fontId="3" fillId="17" borderId="16" xfId="8" applyNumberFormat="1" applyFont="1" applyFill="1" applyBorder="1"/>
    <xf numFmtId="0" fontId="18" fillId="3" borderId="0" xfId="10" applyFont="1" applyFill="1" applyBorder="1" applyAlignment="1">
      <alignment horizontal="left" vertical="center"/>
    </xf>
    <xf numFmtId="0" fontId="29" fillId="3" borderId="0" xfId="10" applyFont="1" applyFill="1" applyBorder="1" applyAlignment="1">
      <alignment horizontal="centerContinuous"/>
    </xf>
    <xf numFmtId="4" fontId="3" fillId="18" borderId="6" xfId="8" applyNumberFormat="1" applyFont="1" applyFill="1" applyBorder="1"/>
    <xf numFmtId="4" fontId="24" fillId="4" borderId="17" xfId="8" applyNumberFormat="1" applyFont="1" applyFill="1" applyBorder="1" applyAlignment="1">
      <alignment horizontal="right" indent="1"/>
    </xf>
    <xf numFmtId="4" fontId="3" fillId="18" borderId="0" xfId="8" applyNumberFormat="1" applyFont="1" applyFill="1" applyBorder="1"/>
    <xf numFmtId="170" fontId="3" fillId="0" borderId="9" xfId="8" applyNumberFormat="1" applyFont="1" applyFill="1" applyBorder="1"/>
    <xf numFmtId="170" fontId="3" fillId="0" borderId="9" xfId="8" applyNumberFormat="1" applyFont="1" applyFill="1" applyBorder="1" applyAlignment="1">
      <alignment horizontal="left"/>
    </xf>
    <xf numFmtId="0" fontId="26" fillId="15" borderId="0" xfId="8" applyFont="1" applyFill="1" applyBorder="1" applyAlignment="1">
      <alignment horizontal="center"/>
    </xf>
    <xf numFmtId="4" fontId="24" fillId="4" borderId="0" xfId="8" applyNumberFormat="1" applyFont="1" applyFill="1" applyBorder="1" applyAlignment="1">
      <alignment horizontal="right" indent="1"/>
    </xf>
    <xf numFmtId="4" fontId="3" fillId="23" borderId="9" xfId="8" applyNumberFormat="1" applyFont="1" applyFill="1" applyBorder="1"/>
    <xf numFmtId="4" fontId="3" fillId="25" borderId="9" xfId="8" applyNumberFormat="1" applyFont="1" applyFill="1" applyBorder="1"/>
    <xf numFmtId="165" fontId="3" fillId="3" borderId="6" xfId="9" applyNumberFormat="1" applyFont="1" applyFill="1" applyBorder="1" applyAlignment="1">
      <alignment horizontal="right" indent="1"/>
    </xf>
    <xf numFmtId="0" fontId="30" fillId="3" borderId="15" xfId="10" applyFont="1" applyFill="1" applyBorder="1" applyAlignment="1">
      <alignment horizontal="right"/>
    </xf>
    <xf numFmtId="14" fontId="30" fillId="3" borderId="15" xfId="10" applyNumberFormat="1" applyFont="1" applyFill="1" applyBorder="1" applyAlignment="1">
      <alignment horizontal="center"/>
    </xf>
    <xf numFmtId="0" fontId="30" fillId="3" borderId="18" xfId="9" applyFont="1" applyFill="1" applyBorder="1"/>
    <xf numFmtId="0" fontId="31" fillId="3" borderId="18" xfId="9" applyFont="1" applyFill="1" applyBorder="1"/>
    <xf numFmtId="165" fontId="3" fillId="0" borderId="9" xfId="0" applyNumberFormat="1" applyFont="1" applyBorder="1" applyAlignment="1">
      <alignment horizontal="right" indent="1"/>
    </xf>
    <xf numFmtId="166" fontId="32" fillId="6" borderId="6" xfId="10" applyNumberFormat="1" applyFont="1" applyFill="1" applyBorder="1" applyAlignment="1" applyProtection="1">
      <alignment horizontal="centerContinuous"/>
    </xf>
    <xf numFmtId="166" fontId="32" fillId="6" borderId="11" xfId="10" applyNumberFormat="1" applyFont="1" applyFill="1" applyBorder="1" applyAlignment="1" applyProtection="1">
      <alignment horizontal="centerContinuous"/>
    </xf>
    <xf numFmtId="166" fontId="32" fillId="6" borderId="7" xfId="10" applyNumberFormat="1" applyFont="1" applyFill="1" applyBorder="1" applyAlignment="1" applyProtection="1">
      <alignment horizontal="centerContinuous"/>
    </xf>
    <xf numFmtId="167" fontId="32" fillId="6" borderId="6" xfId="10" applyNumberFormat="1" applyFont="1" applyFill="1" applyBorder="1" applyAlignment="1" applyProtection="1">
      <alignment horizontal="centerContinuous"/>
    </xf>
    <xf numFmtId="167" fontId="32" fillId="6" borderId="11" xfId="10" applyNumberFormat="1" applyFont="1" applyFill="1" applyBorder="1" applyAlignment="1" applyProtection="1">
      <alignment horizontal="centerContinuous"/>
    </xf>
    <xf numFmtId="49" fontId="32" fillId="6" borderId="11" xfId="10" applyNumberFormat="1" applyFont="1" applyFill="1" applyBorder="1" applyAlignment="1" applyProtection="1">
      <alignment horizontal="centerContinuous"/>
    </xf>
    <xf numFmtId="49" fontId="32" fillId="6" borderId="7" xfId="10" applyNumberFormat="1" applyFont="1" applyFill="1" applyBorder="1" applyAlignment="1" applyProtection="1">
      <alignment horizontal="centerContinuous"/>
    </xf>
    <xf numFmtId="49" fontId="32" fillId="6" borderId="6" xfId="10" applyNumberFormat="1" applyFont="1" applyFill="1" applyBorder="1" applyAlignment="1" applyProtection="1">
      <alignment horizontal="centerContinuous"/>
    </xf>
    <xf numFmtId="0" fontId="3" fillId="27" borderId="6" xfId="8" applyFont="1" applyFill="1" applyBorder="1" applyAlignment="1" applyProtection="1">
      <alignment horizontal="center"/>
    </xf>
    <xf numFmtId="0" fontId="3" fillId="0" borderId="0" xfId="8" applyFont="1" applyFill="1" applyBorder="1" applyAlignment="1" applyProtection="1">
      <alignment horizontal="center"/>
    </xf>
    <xf numFmtId="0" fontId="35" fillId="28" borderId="0" xfId="0" applyFont="1" applyFill="1" applyAlignment="1">
      <alignment horizontal="center"/>
    </xf>
    <xf numFmtId="0" fontId="2" fillId="28" borderId="0" xfId="0" applyFont="1" applyFill="1"/>
    <xf numFmtId="0" fontId="0" fillId="30" borderId="0" xfId="0" applyFill="1" applyBorder="1"/>
    <xf numFmtId="0" fontId="0" fillId="30" borderId="0" xfId="0" applyFill="1"/>
    <xf numFmtId="0" fontId="2" fillId="13" borderId="0" xfId="0" applyFont="1" applyFill="1" applyProtection="1">
      <protection locked="0"/>
    </xf>
    <xf numFmtId="0" fontId="2" fillId="28" borderId="0" xfId="0" applyFont="1" applyFill="1" applyProtection="1"/>
    <xf numFmtId="0" fontId="0" fillId="30" borderId="0" xfId="0" applyFill="1" applyProtection="1"/>
    <xf numFmtId="0" fontId="2" fillId="30" borderId="0" xfId="0" applyFont="1" applyFill="1" applyProtection="1"/>
    <xf numFmtId="0" fontId="0" fillId="14" borderId="0" xfId="0" applyFill="1" applyProtection="1"/>
    <xf numFmtId="0" fontId="0" fillId="14" borderId="0" xfId="0" applyFill="1"/>
    <xf numFmtId="0" fontId="2" fillId="14" borderId="0" xfId="0" applyFont="1" applyFill="1" applyProtection="1"/>
    <xf numFmtId="0" fontId="39" fillId="30" borderId="0" xfId="0" applyFont="1" applyFill="1"/>
    <xf numFmtId="2" fontId="24" fillId="25" borderId="9" xfId="8" applyNumberFormat="1" applyFont="1" applyFill="1" applyBorder="1" applyProtection="1">
      <protection locked="0"/>
    </xf>
    <xf numFmtId="0" fontId="3" fillId="3" borderId="0" xfId="7" quotePrefix="1" applyFont="1" applyFill="1" applyBorder="1" applyAlignment="1" applyProtection="1">
      <protection locked="0"/>
    </xf>
    <xf numFmtId="0" fontId="3" fillId="4" borderId="9" xfId="8" applyFont="1" applyFill="1" applyBorder="1"/>
    <xf numFmtId="49" fontId="3" fillId="3" borderId="5" xfId="10" applyNumberFormat="1" applyFont="1" applyFill="1" applyBorder="1" applyAlignment="1" applyProtection="1">
      <alignment horizontal="left" indent="1"/>
      <protection locked="0"/>
    </xf>
    <xf numFmtId="49" fontId="2" fillId="0" borderId="12" xfId="10" applyNumberFormat="1" applyBorder="1" applyAlignment="1" applyProtection="1">
      <alignment horizontal="left" indent="1"/>
      <protection locked="0"/>
    </xf>
    <xf numFmtId="49" fontId="2" fillId="0" borderId="14" xfId="10" applyNumberFormat="1" applyBorder="1" applyAlignment="1" applyProtection="1">
      <alignment horizontal="left" indent="1"/>
      <protection locked="0"/>
    </xf>
    <xf numFmtId="165" fontId="3" fillId="9" borderId="5" xfId="10" applyNumberFormat="1" applyFont="1" applyFill="1" applyBorder="1" applyAlignment="1" applyProtection="1">
      <alignment horizontal="right" indent="1"/>
    </xf>
    <xf numFmtId="0" fontId="0" fillId="0" borderId="14" xfId="0" applyBorder="1" applyAlignment="1">
      <alignment horizontal="right" indent="1"/>
    </xf>
    <xf numFmtId="3" fontId="3" fillId="14" borderId="5" xfId="10" applyNumberFormat="1" applyFont="1" applyFill="1" applyBorder="1" applyAlignment="1" applyProtection="1">
      <alignment horizontal="right" indent="1"/>
    </xf>
    <xf numFmtId="0" fontId="0" fillId="14" borderId="14" xfId="0" applyFill="1" applyBorder="1" applyAlignment="1">
      <alignment horizontal="right" indent="1"/>
    </xf>
    <xf numFmtId="0" fontId="3" fillId="6" borderId="2" xfId="10" applyFont="1" applyFill="1" applyBorder="1" applyAlignment="1"/>
    <xf numFmtId="0" fontId="0" fillId="0" borderId="4" xfId="0" applyBorder="1" applyAlignment="1"/>
    <xf numFmtId="0" fontId="3" fillId="26" borderId="2" xfId="10" applyFont="1" applyFill="1" applyBorder="1" applyAlignment="1"/>
    <xf numFmtId="0" fontId="0" fillId="0" borderId="3" xfId="0" applyBorder="1" applyAlignment="1"/>
    <xf numFmtId="4" fontId="3" fillId="24" borderId="5" xfId="10" applyNumberFormat="1" applyFont="1" applyFill="1" applyBorder="1" applyAlignment="1" applyProtection="1">
      <alignment horizontal="right" indent="1"/>
    </xf>
    <xf numFmtId="4" fontId="3" fillId="24" borderId="14" xfId="0" applyNumberFormat="1" applyFont="1" applyFill="1" applyBorder="1" applyAlignment="1" applyProtection="1">
      <alignment horizontal="right" indent="1"/>
    </xf>
    <xf numFmtId="0" fontId="3" fillId="14" borderId="14" xfId="0" applyFont="1" applyFill="1" applyBorder="1" applyAlignment="1" applyProtection="1">
      <alignment horizontal="right" indent="1"/>
    </xf>
    <xf numFmtId="49" fontId="3" fillId="3" borderId="5" xfId="10" applyNumberFormat="1" applyFont="1" applyFill="1" applyBorder="1" applyAlignment="1" applyProtection="1">
      <alignment horizontal="center"/>
      <protection locked="0"/>
    </xf>
    <xf numFmtId="49" fontId="2" fillId="0" borderId="14" xfId="10" applyNumberFormat="1" applyBorder="1" applyAlignment="1" applyProtection="1">
      <alignment horizontal="center"/>
      <protection locked="0"/>
    </xf>
    <xf numFmtId="167" fontId="3" fillId="3" borderId="5" xfId="10" applyNumberFormat="1" applyFont="1" applyFill="1" applyBorder="1" applyAlignment="1" applyProtection="1">
      <alignment horizontal="left" indent="1"/>
      <protection locked="0"/>
    </xf>
    <xf numFmtId="167" fontId="2" fillId="0" borderId="14" xfId="10" applyNumberFormat="1" applyBorder="1" applyAlignment="1" applyProtection="1">
      <alignment horizontal="left" indent="1"/>
      <protection locked="0"/>
    </xf>
    <xf numFmtId="49" fontId="2" fillId="0" borderId="12" xfId="10" applyNumberFormat="1" applyBorder="1" applyAlignment="1" applyProtection="1">
      <alignment horizontal="center"/>
      <protection locked="0"/>
    </xf>
    <xf numFmtId="1" fontId="3" fillId="3" borderId="5" xfId="10" applyNumberFormat="1" applyFont="1" applyFill="1" applyBorder="1" applyAlignment="1" applyProtection="1">
      <alignment horizontal="center"/>
      <protection locked="0"/>
    </xf>
    <xf numFmtId="1" fontId="0" fillId="0" borderId="12" xfId="0" applyNumberFormat="1" applyBorder="1" applyAlignment="1" applyProtection="1">
      <alignment horizontal="center"/>
      <protection locked="0"/>
    </xf>
    <xf numFmtId="1" fontId="0" fillId="0" borderId="14" xfId="0" applyNumberFormat="1" applyBorder="1" applyAlignment="1" applyProtection="1">
      <alignment horizontal="center"/>
      <protection locked="0"/>
    </xf>
    <xf numFmtId="49" fontId="3" fillId="8" borderId="5" xfId="10" applyNumberFormat="1" applyFont="1" applyFill="1" applyBorder="1" applyAlignment="1" applyProtection="1">
      <alignment horizontal="left" vertical="center" indent="1"/>
      <protection locked="0"/>
    </xf>
    <xf numFmtId="0" fontId="0" fillId="0" borderId="12" xfId="0" applyBorder="1" applyAlignment="1" applyProtection="1">
      <alignment horizontal="left" vertical="center" indent="1"/>
      <protection locked="0"/>
    </xf>
    <xf numFmtId="0" fontId="0" fillId="0" borderId="14" xfId="0" applyBorder="1" applyAlignment="1" applyProtection="1">
      <alignment horizontal="left" vertical="center" indent="1"/>
      <protection locked="0"/>
    </xf>
    <xf numFmtId="49" fontId="3" fillId="8" borderId="12" xfId="10" applyNumberFormat="1" applyFont="1" applyFill="1" applyBorder="1" applyAlignment="1" applyProtection="1">
      <alignment horizontal="left" vertical="center" indent="1"/>
      <protection locked="0"/>
    </xf>
    <xf numFmtId="49" fontId="27" fillId="11" borderId="0" xfId="10" applyNumberFormat="1" applyFont="1" applyFill="1" applyBorder="1" applyAlignment="1" applyProtection="1">
      <alignment horizontal="left" vertical="center" indent="2"/>
    </xf>
    <xf numFmtId="49" fontId="28" fillId="11" borderId="0" xfId="10" applyNumberFormat="1" applyFont="1" applyFill="1" applyBorder="1" applyAlignment="1" applyProtection="1">
      <alignment horizontal="left" vertical="center" indent="2"/>
    </xf>
    <xf numFmtId="49" fontId="28" fillId="11" borderId="13" xfId="10" applyNumberFormat="1" applyFont="1" applyFill="1" applyBorder="1" applyAlignment="1" applyProtection="1">
      <alignment horizontal="left" vertical="center" indent="2"/>
    </xf>
    <xf numFmtId="49" fontId="3" fillId="3" borderId="8" xfId="10" applyNumberFormat="1" applyFont="1" applyFill="1" applyBorder="1" applyAlignment="1" applyProtection="1">
      <alignment horizontal="left" indent="1"/>
      <protection locked="0"/>
    </xf>
    <xf numFmtId="49" fontId="2" fillId="0" borderId="0" xfId="10" applyNumberFormat="1" applyBorder="1" applyAlignment="1" applyProtection="1">
      <alignment horizontal="left" indent="1"/>
      <protection locked="0"/>
    </xf>
    <xf numFmtId="49" fontId="2" fillId="0" borderId="13" xfId="10" applyNumberFormat="1" applyBorder="1" applyAlignment="1" applyProtection="1">
      <alignment horizontal="left" indent="1"/>
      <protection locked="0"/>
    </xf>
    <xf numFmtId="49" fontId="23" fillId="0" borderId="12" xfId="10" applyNumberFormat="1" applyFont="1" applyBorder="1" applyAlignment="1" applyProtection="1">
      <alignment horizontal="left" indent="1"/>
      <protection locked="0"/>
    </xf>
    <xf numFmtId="49" fontId="23" fillId="0" borderId="14" xfId="10" applyNumberFormat="1" applyFont="1" applyBorder="1" applyAlignment="1" applyProtection="1">
      <alignment horizontal="left" indent="1"/>
      <protection locked="0"/>
    </xf>
    <xf numFmtId="49" fontId="3" fillId="8" borderId="5" xfId="10" applyNumberFormat="1" applyFont="1" applyFill="1" applyBorder="1" applyAlignment="1" applyProtection="1">
      <alignment horizontal="left" indent="1"/>
      <protection locked="0"/>
    </xf>
    <xf numFmtId="49" fontId="3" fillId="0" borderId="12" xfId="10" applyNumberFormat="1" applyFont="1" applyBorder="1" applyAlignment="1" applyProtection="1">
      <alignment horizontal="left" indent="1"/>
      <protection locked="0"/>
    </xf>
    <xf numFmtId="49" fontId="3" fillId="0" borderId="14" xfId="10" applyNumberFormat="1" applyFont="1" applyBorder="1" applyAlignment="1" applyProtection="1">
      <alignment horizontal="left" indent="1"/>
      <protection locked="0"/>
    </xf>
    <xf numFmtId="49" fontId="27" fillId="11" borderId="12" xfId="10" applyNumberFormat="1" applyFont="1" applyFill="1" applyBorder="1" applyAlignment="1" applyProtection="1">
      <alignment horizontal="left" vertical="center" indent="2"/>
    </xf>
    <xf numFmtId="0" fontId="28" fillId="11" borderId="12" xfId="0" applyFont="1" applyFill="1" applyBorder="1" applyAlignment="1" applyProtection="1">
      <alignment horizontal="left" vertical="center" indent="2"/>
    </xf>
    <xf numFmtId="0" fontId="28" fillId="11" borderId="14" xfId="0" applyFont="1" applyFill="1" applyBorder="1" applyAlignment="1" applyProtection="1">
      <alignment horizontal="left" vertical="center" indent="2"/>
    </xf>
    <xf numFmtId="0" fontId="0" fillId="0" borderId="14" xfId="0" applyBorder="1" applyAlignment="1" applyProtection="1">
      <alignment horizontal="left" indent="1"/>
      <protection locked="0"/>
    </xf>
    <xf numFmtId="165" fontId="3" fillId="33" borderId="5" xfId="10" applyNumberFormat="1" applyFont="1" applyFill="1" applyBorder="1" applyAlignment="1" applyProtection="1">
      <alignment horizontal="right" indent="1"/>
    </xf>
    <xf numFmtId="0" fontId="0" fillId="33" borderId="14" xfId="0" applyFill="1" applyBorder="1" applyAlignment="1">
      <alignment horizontal="right" indent="1"/>
    </xf>
    <xf numFmtId="165" fontId="3" fillId="0" borderId="5" xfId="10" applyNumberFormat="1" applyFont="1" applyFill="1" applyBorder="1" applyAlignment="1" applyProtection="1">
      <alignment horizontal="right" indent="1"/>
      <protection locked="0"/>
    </xf>
    <xf numFmtId="165" fontId="3" fillId="0" borderId="14" xfId="0" applyNumberFormat="1" applyFont="1" applyFill="1" applyBorder="1" applyAlignment="1" applyProtection="1">
      <alignment horizontal="right" indent="1"/>
      <protection locked="0"/>
    </xf>
    <xf numFmtId="0" fontId="0" fillId="0" borderId="0" xfId="0" applyAlignment="1" applyProtection="1">
      <alignment horizontal="left" indent="1"/>
      <protection locked="0"/>
    </xf>
    <xf numFmtId="0" fontId="0" fillId="0" borderId="13" xfId="0" applyBorder="1" applyAlignment="1" applyProtection="1">
      <alignment horizontal="left" indent="1"/>
      <protection locked="0"/>
    </xf>
    <xf numFmtId="0" fontId="33" fillId="11" borderId="6" xfId="10" applyNumberFormat="1" applyFont="1" applyFill="1" applyBorder="1" applyAlignment="1" applyProtection="1">
      <alignment horizontal="center"/>
    </xf>
    <xf numFmtId="0" fontId="34" fillId="11" borderId="11" xfId="0" applyFont="1" applyFill="1" applyBorder="1" applyAlignment="1" applyProtection="1">
      <alignment horizontal="center"/>
    </xf>
    <xf numFmtId="0" fontId="34" fillId="11" borderId="7" xfId="0" applyFont="1" applyFill="1" applyBorder="1" applyAlignment="1" applyProtection="1">
      <alignment horizontal="center"/>
    </xf>
    <xf numFmtId="165" fontId="3" fillId="16" borderId="5" xfId="10" applyNumberFormat="1" applyFont="1" applyFill="1" applyBorder="1" applyAlignment="1" applyProtection="1">
      <alignment horizontal="right" indent="1"/>
    </xf>
    <xf numFmtId="165" fontId="3" fillId="16" borderId="14" xfId="0" applyNumberFormat="1" applyFont="1" applyFill="1" applyBorder="1" applyAlignment="1" applyProtection="1">
      <alignment horizontal="right" indent="1"/>
    </xf>
    <xf numFmtId="3" fontId="3" fillId="24" borderId="5" xfId="10" applyNumberFormat="1" applyFont="1" applyFill="1" applyBorder="1" applyAlignment="1" applyProtection="1">
      <alignment horizontal="right" indent="1"/>
    </xf>
    <xf numFmtId="0" fontId="0" fillId="24" borderId="14" xfId="0" applyFill="1" applyBorder="1" applyAlignment="1">
      <alignment horizontal="right" indent="1"/>
    </xf>
    <xf numFmtId="49" fontId="3" fillId="0" borderId="6" xfId="8" applyNumberFormat="1" applyFont="1" applyFill="1" applyBorder="1" applyAlignment="1">
      <alignment horizontal="center"/>
    </xf>
    <xf numFmtId="49" fontId="3" fillId="0" borderId="11" xfId="8" applyNumberFormat="1" applyFont="1" applyFill="1" applyBorder="1" applyAlignment="1">
      <alignment horizontal="center"/>
    </xf>
    <xf numFmtId="0" fontId="3" fillId="0" borderId="6" xfId="8" applyNumberFormat="1" applyFont="1" applyFill="1" applyBorder="1" applyAlignment="1">
      <alignment horizontal="center"/>
    </xf>
    <xf numFmtId="0" fontId="0" fillId="0" borderId="7" xfId="0" applyNumberFormat="1" applyBorder="1" applyAlignment="1">
      <alignment horizontal="center"/>
    </xf>
    <xf numFmtId="0" fontId="37" fillId="31" borderId="0" xfId="0" applyFont="1" applyFill="1" applyAlignment="1">
      <alignment horizontal="center"/>
    </xf>
    <xf numFmtId="0" fontId="36" fillId="29" borderId="0" xfId="0" applyFont="1" applyFill="1" applyAlignment="1">
      <alignment horizontal="center"/>
    </xf>
    <xf numFmtId="0" fontId="8" fillId="32" borderId="0" xfId="0" applyFont="1" applyFill="1" applyAlignment="1">
      <alignment horizontal="center"/>
    </xf>
  </cellXfs>
  <cellStyles count="13">
    <cellStyle name="Comma0" xfId="1" xr:uid="{00000000-0005-0000-0000-000000000000}"/>
    <cellStyle name="Currency0" xfId="2" xr:uid="{00000000-0005-0000-0000-000001000000}"/>
    <cellStyle name="Date" xfId="3" xr:uid="{00000000-0005-0000-0000-000002000000}"/>
    <cellStyle name="Fixed" xfId="4" xr:uid="{00000000-0005-0000-0000-000003000000}"/>
    <cellStyle name="Heading 1" xfId="5" builtinId="16" customBuiltin="1"/>
    <cellStyle name="Heading 2" xfId="6" builtinId="17" customBuiltin="1"/>
    <cellStyle name="Hyperlink" xfId="7" builtinId="8"/>
    <cellStyle name="Normal" xfId="0" builtinId="0"/>
    <cellStyle name="Normal 2" xfId="12" xr:uid="{00000000-0005-0000-0000-000008000000}"/>
    <cellStyle name="Normal_orderform" xfId="8" xr:uid="{00000000-0005-0000-0000-000009000000}"/>
    <cellStyle name="Normal_orderform_softice" xfId="9" xr:uid="{00000000-0005-0000-0000-00000A000000}"/>
    <cellStyle name="Normal_orderform_tropicalsno" xfId="10" xr:uid="{00000000-0005-0000-0000-00000B000000}"/>
    <cellStyle name="Total" xfId="11" builtinId="25" customBuiltin="1"/>
  </cellStyles>
  <dxfs count="0"/>
  <tableStyles count="0" defaultTableStyle="TableStyleMedium9" defaultPivotStyle="PivotStyleLight16"/>
  <colors>
    <mruColors>
      <color rgb="FFFFFF99"/>
      <color rgb="FFFFFFCC"/>
      <color rgb="FFCCCCFF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1</xdr:row>
      <xdr:rowOff>66675</xdr:rowOff>
    </xdr:from>
    <xdr:to>
      <xdr:col>4</xdr:col>
      <xdr:colOff>161925</xdr:colOff>
      <xdr:row>6</xdr:row>
      <xdr:rowOff>47625</xdr:rowOff>
    </xdr:to>
    <xdr:pic>
      <xdr:nvPicPr>
        <xdr:cNvPr id="1025" name="Picture 1" descr="PFB_logo black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300" y="114300"/>
          <a:ext cx="1276350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orderdesk@pioneerfamilybrands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1"/>
    <pageSetUpPr fitToPage="1"/>
  </sheetPr>
  <dimension ref="A1:T59"/>
  <sheetViews>
    <sheetView showGridLines="0" tabSelected="1" zoomScaleNormal="100" workbookViewId="0">
      <selection activeCell="B11" sqref="B11:E11"/>
    </sheetView>
  </sheetViews>
  <sheetFormatPr defaultColWidth="9.140625" defaultRowHeight="12.75"/>
  <cols>
    <col min="1" max="1" width="0.85546875" style="68" customWidth="1"/>
    <col min="2" max="17" width="5.85546875" style="68" customWidth="1"/>
    <col min="18" max="18" width="0.85546875" style="68" customWidth="1"/>
    <col min="19" max="16384" width="9.140625" style="68"/>
  </cols>
  <sheetData>
    <row r="1" spans="1:18" ht="3.95" customHeight="1">
      <c r="A1" s="225"/>
      <c r="B1" s="223"/>
      <c r="C1" s="223"/>
      <c r="D1" s="223"/>
      <c r="E1" s="223"/>
      <c r="F1" s="223"/>
      <c r="G1" s="223"/>
      <c r="H1" s="223"/>
      <c r="I1" s="223"/>
      <c r="J1" s="223"/>
      <c r="K1" s="223"/>
      <c r="L1" s="223"/>
      <c r="M1" s="223"/>
      <c r="N1" s="223"/>
      <c r="O1" s="223"/>
      <c r="P1" s="223"/>
      <c r="Q1" s="223"/>
      <c r="R1" s="224"/>
    </row>
    <row r="2" spans="1:18" ht="22.5">
      <c r="A2" s="221"/>
      <c r="B2" s="241" t="s">
        <v>408</v>
      </c>
      <c r="C2" s="171"/>
      <c r="D2" s="171"/>
      <c r="E2" s="171"/>
      <c r="F2" s="172"/>
      <c r="G2" s="172"/>
      <c r="H2" s="172"/>
      <c r="I2" s="172"/>
      <c r="J2" s="172"/>
      <c r="K2" s="172"/>
      <c r="L2" s="171"/>
      <c r="M2" s="171"/>
      <c r="N2" s="171"/>
      <c r="O2" s="171"/>
      <c r="P2" s="171"/>
      <c r="Q2" s="171"/>
      <c r="R2" s="220"/>
    </row>
    <row r="3" spans="1:18" ht="8.1" customHeight="1">
      <c r="A3" s="221"/>
      <c r="B3" s="166"/>
      <c r="C3" s="166"/>
      <c r="D3" s="166"/>
      <c r="E3" s="166"/>
      <c r="F3" s="166"/>
      <c r="G3" s="166"/>
      <c r="H3" s="166"/>
      <c r="I3" s="166"/>
      <c r="J3" s="166"/>
      <c r="K3" s="166"/>
      <c r="L3" s="69"/>
      <c r="M3" s="70"/>
      <c r="N3" s="70"/>
      <c r="O3" s="70"/>
      <c r="P3" s="70"/>
      <c r="Q3" s="70"/>
      <c r="R3" s="221"/>
    </row>
    <row r="4" spans="1:18">
      <c r="A4" s="221"/>
      <c r="B4" s="166"/>
      <c r="C4" s="166"/>
      <c r="D4" s="166"/>
      <c r="F4" s="240" t="s">
        <v>48</v>
      </c>
      <c r="G4" s="175"/>
      <c r="H4" s="175"/>
      <c r="I4" s="175"/>
      <c r="J4" s="175"/>
      <c r="K4" s="173"/>
      <c r="L4" s="71" t="s">
        <v>46</v>
      </c>
      <c r="M4" s="72" t="s">
        <v>47</v>
      </c>
      <c r="N4" s="72"/>
      <c r="O4" s="72"/>
      <c r="P4" s="72"/>
      <c r="Q4" s="72"/>
      <c r="R4" s="221"/>
    </row>
    <row r="5" spans="1:18">
      <c r="A5" s="221"/>
      <c r="B5" s="166"/>
      <c r="C5" s="166"/>
      <c r="D5" s="166"/>
      <c r="F5" s="240" t="s">
        <v>500</v>
      </c>
      <c r="G5" s="175"/>
      <c r="H5" s="175"/>
      <c r="I5" s="175"/>
      <c r="J5" s="175"/>
      <c r="K5" s="173"/>
      <c r="L5" s="71" t="s">
        <v>45</v>
      </c>
      <c r="M5" s="72" t="s">
        <v>502</v>
      </c>
      <c r="N5" s="72"/>
      <c r="O5" s="72"/>
      <c r="P5" s="72"/>
      <c r="Q5" s="72"/>
      <c r="R5" s="221"/>
    </row>
    <row r="6" spans="1:18">
      <c r="A6" s="221"/>
      <c r="B6" s="166"/>
      <c r="C6" s="166"/>
      <c r="D6" s="166"/>
      <c r="F6" s="240" t="s">
        <v>501</v>
      </c>
      <c r="G6" s="175"/>
      <c r="H6" s="175"/>
      <c r="I6" s="175"/>
      <c r="J6" s="175"/>
      <c r="K6" s="173"/>
      <c r="L6" s="71" t="s">
        <v>43</v>
      </c>
      <c r="M6" s="280" t="s">
        <v>44</v>
      </c>
      <c r="N6" s="72"/>
      <c r="O6" s="72"/>
      <c r="P6" s="72"/>
      <c r="Q6" s="72"/>
      <c r="R6" s="221"/>
    </row>
    <row r="7" spans="1:18" ht="8.1" customHeight="1">
      <c r="A7" s="222"/>
      <c r="B7" s="167"/>
      <c r="C7" s="167"/>
      <c r="D7" s="167"/>
      <c r="E7" s="176"/>
      <c r="F7" s="176"/>
      <c r="G7" s="176"/>
      <c r="H7" s="176"/>
      <c r="I7" s="176"/>
      <c r="J7" s="176"/>
      <c r="K7" s="174"/>
      <c r="L7" s="168"/>
      <c r="M7" s="169"/>
      <c r="N7" s="170"/>
      <c r="O7" s="170"/>
      <c r="P7" s="170"/>
      <c r="Q7" s="170"/>
      <c r="R7" s="222"/>
    </row>
    <row r="8" spans="1:18" ht="8.1" customHeight="1"/>
    <row r="9" spans="1:18" ht="12" customHeight="1">
      <c r="A9" s="73"/>
      <c r="B9" s="74" t="s">
        <v>35</v>
      </c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6"/>
    </row>
    <row r="10" spans="1:18" ht="11.1" customHeight="1">
      <c r="A10" s="77"/>
      <c r="B10" s="78" t="s">
        <v>6</v>
      </c>
      <c r="C10" s="79"/>
      <c r="D10" s="79"/>
      <c r="E10" s="79"/>
      <c r="F10" s="78" t="s">
        <v>173</v>
      </c>
      <c r="G10" s="79"/>
      <c r="H10" s="78" t="s">
        <v>7</v>
      </c>
      <c r="I10" s="79"/>
      <c r="J10" s="79"/>
      <c r="K10" s="80"/>
      <c r="L10" s="78" t="s">
        <v>170</v>
      </c>
      <c r="M10" s="81"/>
      <c r="N10" s="81"/>
      <c r="O10" s="81"/>
      <c r="P10" s="78" t="s">
        <v>55</v>
      </c>
      <c r="Q10" s="82"/>
      <c r="R10" s="83"/>
    </row>
    <row r="11" spans="1:18" ht="15" customHeight="1">
      <c r="A11" s="84"/>
      <c r="B11" s="282"/>
      <c r="C11" s="283"/>
      <c r="D11" s="283"/>
      <c r="E11" s="284"/>
      <c r="F11" s="298"/>
      <c r="G11" s="299"/>
      <c r="H11" s="282"/>
      <c r="I11" s="283"/>
      <c r="J11" s="283"/>
      <c r="K11" s="284"/>
      <c r="L11" s="282"/>
      <c r="M11" s="283"/>
      <c r="N11" s="283"/>
      <c r="O11" s="284"/>
      <c r="P11" s="296"/>
      <c r="Q11" s="297"/>
      <c r="R11" s="85"/>
    </row>
    <row r="12" spans="1:18" ht="15" customHeight="1">
      <c r="A12" s="84"/>
      <c r="B12" s="257" t="s">
        <v>443</v>
      </c>
      <c r="C12" s="258"/>
      <c r="D12" s="258"/>
      <c r="E12" s="259"/>
      <c r="F12" s="260" t="s">
        <v>182</v>
      </c>
      <c r="G12" s="261"/>
      <c r="H12" s="262"/>
      <c r="I12" s="263"/>
      <c r="J12" s="264" t="s">
        <v>181</v>
      </c>
      <c r="K12" s="262"/>
      <c r="L12" s="262"/>
      <c r="M12" s="263"/>
      <c r="N12" s="262" t="s">
        <v>183</v>
      </c>
      <c r="O12" s="262"/>
      <c r="P12" s="262"/>
      <c r="Q12" s="263"/>
      <c r="R12" s="85"/>
    </row>
    <row r="13" spans="1:18" ht="8.1" customHeight="1"/>
    <row r="14" spans="1:18">
      <c r="A14" s="86"/>
      <c r="B14" s="87" t="s">
        <v>36</v>
      </c>
      <c r="C14" s="88"/>
      <c r="D14" s="87"/>
      <c r="E14" s="87"/>
      <c r="F14" s="87"/>
      <c r="G14" s="87"/>
      <c r="H14" s="87"/>
      <c r="I14" s="87"/>
      <c r="J14" s="87"/>
      <c r="K14" s="87"/>
      <c r="L14" s="87"/>
      <c r="M14" s="87"/>
      <c r="N14" s="87"/>
      <c r="O14" s="87"/>
      <c r="P14" s="87"/>
      <c r="Q14" s="87"/>
      <c r="R14" s="89"/>
    </row>
    <row r="15" spans="1:18" ht="11.1" customHeight="1">
      <c r="A15" s="77"/>
      <c r="B15" s="78" t="s">
        <v>10</v>
      </c>
      <c r="C15" s="79"/>
      <c r="D15" s="79"/>
      <c r="E15" s="79"/>
      <c r="F15" s="81"/>
      <c r="G15" s="82"/>
      <c r="H15" s="78" t="s">
        <v>19</v>
      </c>
      <c r="I15" s="79"/>
      <c r="J15" s="79"/>
      <c r="K15" s="79"/>
      <c r="L15" s="79"/>
      <c r="M15" s="79"/>
      <c r="N15" s="79"/>
      <c r="O15" s="79"/>
      <c r="P15" s="79"/>
      <c r="Q15" s="82"/>
      <c r="R15" s="83"/>
    </row>
    <row r="16" spans="1:18" ht="15" customHeight="1">
      <c r="A16" s="77"/>
      <c r="B16" s="282"/>
      <c r="C16" s="283"/>
      <c r="D16" s="283"/>
      <c r="E16" s="283"/>
      <c r="F16" s="283"/>
      <c r="G16" s="284"/>
      <c r="H16" s="282"/>
      <c r="I16" s="283"/>
      <c r="J16" s="283"/>
      <c r="K16" s="283"/>
      <c r="L16" s="283"/>
      <c r="M16" s="283"/>
      <c r="N16" s="283"/>
      <c r="O16" s="283"/>
      <c r="P16" s="283"/>
      <c r="Q16" s="284"/>
      <c r="R16" s="83"/>
    </row>
    <row r="17" spans="1:18" ht="11.1" customHeight="1">
      <c r="A17" s="77"/>
      <c r="B17" s="78" t="s">
        <v>11</v>
      </c>
      <c r="C17" s="79"/>
      <c r="D17" s="79"/>
      <c r="E17" s="79"/>
      <c r="F17" s="79"/>
      <c r="G17" s="79"/>
      <c r="H17" s="79"/>
      <c r="I17" s="79"/>
      <c r="J17" s="79"/>
      <c r="K17" s="79"/>
      <c r="L17" s="79"/>
      <c r="M17" s="79"/>
      <c r="N17" s="79"/>
      <c r="O17" s="79"/>
      <c r="P17" s="79"/>
      <c r="Q17" s="82"/>
      <c r="R17" s="83"/>
    </row>
    <row r="18" spans="1:18" ht="15" customHeight="1">
      <c r="A18" s="77"/>
      <c r="B18" s="282"/>
      <c r="C18" s="283"/>
      <c r="D18" s="283"/>
      <c r="E18" s="283"/>
      <c r="F18" s="283"/>
      <c r="G18" s="283"/>
      <c r="H18" s="283"/>
      <c r="I18" s="283"/>
      <c r="J18" s="283"/>
      <c r="K18" s="283"/>
      <c r="L18" s="283"/>
      <c r="M18" s="283"/>
      <c r="N18" s="283"/>
      <c r="O18" s="283"/>
      <c r="P18" s="283"/>
      <c r="Q18" s="284"/>
      <c r="R18" s="83"/>
    </row>
    <row r="19" spans="1:18" ht="11.1" customHeight="1">
      <c r="A19" s="77"/>
      <c r="B19" s="78" t="s">
        <v>12</v>
      </c>
      <c r="C19" s="79"/>
      <c r="D19" s="79"/>
      <c r="E19" s="79"/>
      <c r="F19" s="79"/>
      <c r="G19" s="79"/>
      <c r="H19" s="79"/>
      <c r="I19" s="79"/>
      <c r="J19" s="79"/>
      <c r="K19" s="79"/>
      <c r="L19" s="79"/>
      <c r="M19" s="82"/>
      <c r="N19" s="78" t="s">
        <v>42</v>
      </c>
      <c r="O19" s="79"/>
      <c r="P19" s="79"/>
      <c r="Q19" s="82"/>
      <c r="R19" s="83"/>
    </row>
    <row r="20" spans="1:18" ht="15" customHeight="1">
      <c r="A20" s="77"/>
      <c r="B20" s="282"/>
      <c r="C20" s="283"/>
      <c r="D20" s="283"/>
      <c r="E20" s="283"/>
      <c r="F20" s="283"/>
      <c r="G20" s="283"/>
      <c r="H20" s="283"/>
      <c r="I20" s="283"/>
      <c r="J20" s="283"/>
      <c r="K20" s="283"/>
      <c r="L20" s="283"/>
      <c r="M20" s="284"/>
      <c r="N20" s="282"/>
      <c r="O20" s="283"/>
      <c r="P20" s="283"/>
      <c r="Q20" s="284"/>
      <c r="R20" s="83"/>
    </row>
    <row r="21" spans="1:18" ht="11.1" customHeight="1">
      <c r="A21" s="77"/>
      <c r="B21" s="78" t="s">
        <v>13</v>
      </c>
      <c r="C21" s="79"/>
      <c r="D21" s="79"/>
      <c r="E21" s="79"/>
      <c r="F21" s="79"/>
      <c r="G21" s="80"/>
      <c r="H21" s="78" t="s">
        <v>14</v>
      </c>
      <c r="I21" s="81"/>
      <c r="J21" s="80"/>
      <c r="K21" s="78" t="s">
        <v>15</v>
      </c>
      <c r="L21" s="79"/>
      <c r="M21" s="82"/>
      <c r="N21" s="78" t="s">
        <v>41</v>
      </c>
      <c r="O21" s="81"/>
      <c r="P21" s="79"/>
      <c r="Q21" s="82"/>
      <c r="R21" s="83"/>
    </row>
    <row r="22" spans="1:18" ht="15" customHeight="1">
      <c r="A22" s="77"/>
      <c r="B22" s="282"/>
      <c r="C22" s="283"/>
      <c r="D22" s="283"/>
      <c r="E22" s="283"/>
      <c r="F22" s="283"/>
      <c r="G22" s="284"/>
      <c r="H22" s="282"/>
      <c r="I22" s="283"/>
      <c r="J22" s="284"/>
      <c r="K22" s="282"/>
      <c r="L22" s="283"/>
      <c r="M22" s="284"/>
      <c r="N22" s="282"/>
      <c r="O22" s="283"/>
      <c r="P22" s="283"/>
      <c r="Q22" s="284"/>
      <c r="R22" s="83"/>
    </row>
    <row r="23" spans="1:18" ht="11.1" customHeight="1">
      <c r="A23" s="77"/>
      <c r="B23" s="78" t="s">
        <v>16</v>
      </c>
      <c r="C23" s="79"/>
      <c r="D23" s="79"/>
      <c r="E23" s="82"/>
      <c r="F23" s="78" t="s">
        <v>17</v>
      </c>
      <c r="G23" s="79"/>
      <c r="H23" s="79"/>
      <c r="I23" s="82"/>
      <c r="J23" s="78" t="s">
        <v>18</v>
      </c>
      <c r="K23" s="79"/>
      <c r="L23" s="79"/>
      <c r="M23" s="79"/>
      <c r="N23" s="79"/>
      <c r="O23" s="79"/>
      <c r="P23" s="79"/>
      <c r="Q23" s="82"/>
      <c r="R23" s="83"/>
    </row>
    <row r="24" spans="1:18" ht="15" customHeight="1">
      <c r="A24" s="84"/>
      <c r="B24" s="282"/>
      <c r="C24" s="283"/>
      <c r="D24" s="283"/>
      <c r="E24" s="284"/>
      <c r="F24" s="282"/>
      <c r="G24" s="283"/>
      <c r="H24" s="283"/>
      <c r="I24" s="284"/>
      <c r="J24" s="282"/>
      <c r="K24" s="283"/>
      <c r="L24" s="283"/>
      <c r="M24" s="283"/>
      <c r="N24" s="283"/>
      <c r="O24" s="283"/>
      <c r="P24" s="283"/>
      <c r="Q24" s="284"/>
      <c r="R24" s="85"/>
    </row>
    <row r="25" spans="1:18" ht="6" customHeight="1"/>
    <row r="26" spans="1:18" ht="12" customHeight="1">
      <c r="A26" s="86"/>
      <c r="B26" s="75" t="s">
        <v>34</v>
      </c>
      <c r="C26" s="90"/>
      <c r="D26" s="90"/>
      <c r="E26" s="90"/>
      <c r="F26" s="90"/>
      <c r="G26" s="90"/>
      <c r="H26" s="90"/>
      <c r="I26" s="90"/>
      <c r="J26" s="90"/>
      <c r="K26" s="90"/>
      <c r="L26" s="90"/>
      <c r="M26" s="90"/>
      <c r="N26" s="90"/>
      <c r="O26" s="90"/>
      <c r="P26" s="90"/>
      <c r="Q26" s="90"/>
      <c r="R26" s="89"/>
    </row>
    <row r="27" spans="1:18" ht="11.1" customHeight="1">
      <c r="A27" s="77"/>
      <c r="B27" s="78" t="s">
        <v>11</v>
      </c>
      <c r="C27" s="79"/>
      <c r="D27" s="79"/>
      <c r="E27" s="79"/>
      <c r="F27" s="79"/>
      <c r="G27" s="79"/>
      <c r="H27" s="79"/>
      <c r="I27" s="79"/>
      <c r="J27" s="79"/>
      <c r="K27" s="79"/>
      <c r="L27" s="79"/>
      <c r="M27" s="82"/>
      <c r="N27" s="78" t="s">
        <v>330</v>
      </c>
      <c r="O27" s="79"/>
      <c r="P27" s="79"/>
      <c r="Q27" s="82"/>
      <c r="R27" s="83"/>
    </row>
    <row r="28" spans="1:18" ht="15" customHeight="1">
      <c r="A28" s="77"/>
      <c r="B28" s="282"/>
      <c r="C28" s="283"/>
      <c r="D28" s="283"/>
      <c r="E28" s="283"/>
      <c r="F28" s="283"/>
      <c r="G28" s="283"/>
      <c r="H28" s="283"/>
      <c r="I28" s="283"/>
      <c r="J28" s="283"/>
      <c r="K28" s="283"/>
      <c r="L28" s="283"/>
      <c r="M28" s="284"/>
      <c r="N28" s="282"/>
      <c r="O28" s="283"/>
      <c r="P28" s="283"/>
      <c r="Q28" s="284"/>
      <c r="R28" s="83"/>
    </row>
    <row r="29" spans="1:18" ht="11.1" customHeight="1">
      <c r="A29" s="77"/>
      <c r="B29" s="78" t="s">
        <v>20</v>
      </c>
      <c r="C29" s="79"/>
      <c r="D29" s="79"/>
      <c r="E29" s="79"/>
      <c r="F29" s="79"/>
      <c r="G29" s="79"/>
      <c r="H29" s="79"/>
      <c r="I29" s="79"/>
      <c r="J29" s="79"/>
      <c r="K29" s="79"/>
      <c r="L29" s="79"/>
      <c r="M29" s="79"/>
      <c r="N29" s="79"/>
      <c r="O29" s="79"/>
      <c r="P29" s="79"/>
      <c r="Q29" s="82"/>
      <c r="R29" s="83"/>
    </row>
    <row r="30" spans="1:18" ht="15" customHeight="1">
      <c r="A30" s="77"/>
      <c r="B30" s="282"/>
      <c r="C30" s="283"/>
      <c r="D30" s="283"/>
      <c r="E30" s="283"/>
      <c r="F30" s="283"/>
      <c r="G30" s="283"/>
      <c r="H30" s="283"/>
      <c r="I30" s="283"/>
      <c r="J30" s="283"/>
      <c r="K30" s="283"/>
      <c r="L30" s="283"/>
      <c r="M30" s="283"/>
      <c r="N30" s="283"/>
      <c r="O30" s="283"/>
      <c r="P30" s="283"/>
      <c r="Q30" s="284"/>
      <c r="R30" s="83"/>
    </row>
    <row r="31" spans="1:18" ht="11.1" customHeight="1">
      <c r="A31" s="77"/>
      <c r="B31" s="78" t="s">
        <v>12</v>
      </c>
      <c r="C31" s="79"/>
      <c r="D31" s="79"/>
      <c r="E31" s="79"/>
      <c r="F31" s="79"/>
      <c r="G31" s="79"/>
      <c r="H31" s="79"/>
      <c r="I31" s="79"/>
      <c r="J31" s="79"/>
      <c r="K31" s="79"/>
      <c r="L31" s="79"/>
      <c r="M31" s="82"/>
      <c r="N31" s="78" t="s">
        <v>42</v>
      </c>
      <c r="O31" s="79"/>
      <c r="P31" s="79"/>
      <c r="Q31" s="82"/>
      <c r="R31" s="83"/>
    </row>
    <row r="32" spans="1:18" ht="15" customHeight="1">
      <c r="A32" s="77"/>
      <c r="B32" s="282"/>
      <c r="C32" s="283"/>
      <c r="D32" s="283"/>
      <c r="E32" s="283"/>
      <c r="F32" s="283"/>
      <c r="G32" s="283"/>
      <c r="H32" s="283"/>
      <c r="I32" s="283"/>
      <c r="J32" s="283"/>
      <c r="K32" s="283"/>
      <c r="L32" s="283"/>
      <c r="M32" s="284"/>
      <c r="N32" s="282"/>
      <c r="O32" s="283"/>
      <c r="P32" s="283"/>
      <c r="Q32" s="284"/>
      <c r="R32" s="83"/>
    </row>
    <row r="33" spans="1:18" ht="11.1" customHeight="1">
      <c r="A33" s="77"/>
      <c r="B33" s="78" t="s">
        <v>13</v>
      </c>
      <c r="C33" s="79"/>
      <c r="D33" s="79"/>
      <c r="E33" s="79"/>
      <c r="F33" s="79"/>
      <c r="G33" s="80"/>
      <c r="H33" s="78" t="s">
        <v>14</v>
      </c>
      <c r="I33" s="81"/>
      <c r="J33" s="80"/>
      <c r="K33" s="78" t="s">
        <v>15</v>
      </c>
      <c r="L33" s="79"/>
      <c r="M33" s="82"/>
      <c r="N33" s="78" t="s">
        <v>41</v>
      </c>
      <c r="O33" s="81"/>
      <c r="P33" s="79"/>
      <c r="Q33" s="82"/>
      <c r="R33" s="83"/>
    </row>
    <row r="34" spans="1:18" ht="15" customHeight="1">
      <c r="A34" s="77"/>
      <c r="B34" s="282"/>
      <c r="C34" s="283"/>
      <c r="D34" s="283"/>
      <c r="E34" s="283"/>
      <c r="F34" s="283"/>
      <c r="G34" s="284"/>
      <c r="H34" s="282"/>
      <c r="I34" s="283"/>
      <c r="J34" s="284"/>
      <c r="K34" s="282"/>
      <c r="L34" s="283"/>
      <c r="M34" s="284"/>
      <c r="N34" s="282"/>
      <c r="O34" s="283"/>
      <c r="P34" s="283"/>
      <c r="Q34" s="284"/>
      <c r="R34" s="83"/>
    </row>
    <row r="35" spans="1:18" ht="11.1" customHeight="1">
      <c r="A35" s="77"/>
      <c r="B35" s="78" t="s">
        <v>16</v>
      </c>
      <c r="C35" s="79"/>
      <c r="D35" s="79"/>
      <c r="E35" s="82"/>
      <c r="F35" s="78" t="s">
        <v>17</v>
      </c>
      <c r="G35" s="79"/>
      <c r="H35" s="79"/>
      <c r="I35" s="82"/>
      <c r="J35" s="78" t="s">
        <v>18</v>
      </c>
      <c r="K35" s="79"/>
      <c r="L35" s="79"/>
      <c r="M35" s="79"/>
      <c r="N35" s="79"/>
      <c r="O35" s="79"/>
      <c r="P35" s="79"/>
      <c r="Q35" s="82"/>
      <c r="R35" s="83"/>
    </row>
    <row r="36" spans="1:18" ht="15" customHeight="1">
      <c r="A36" s="84"/>
      <c r="B36" s="282"/>
      <c r="C36" s="283"/>
      <c r="D36" s="283"/>
      <c r="E36" s="284"/>
      <c r="F36" s="282"/>
      <c r="G36" s="283"/>
      <c r="H36" s="283"/>
      <c r="I36" s="284"/>
      <c r="J36" s="282"/>
      <c r="K36" s="283"/>
      <c r="L36" s="283"/>
      <c r="M36" s="283"/>
      <c r="N36" s="283"/>
      <c r="O36" s="283"/>
      <c r="P36" s="283"/>
      <c r="Q36" s="284"/>
      <c r="R36" s="85"/>
    </row>
    <row r="37" spans="1:18" ht="6" customHeight="1"/>
    <row r="38" spans="1:18" ht="12" customHeight="1">
      <c r="A38" s="227"/>
      <c r="B38" s="75" t="s">
        <v>33</v>
      </c>
      <c r="C38" s="90"/>
      <c r="D38" s="90"/>
      <c r="E38" s="90"/>
      <c r="F38" s="90"/>
      <c r="G38" s="90"/>
      <c r="H38" s="90"/>
      <c r="I38" s="90"/>
      <c r="J38" s="90"/>
      <c r="K38" s="90"/>
      <c r="L38" s="90"/>
      <c r="M38" s="90"/>
      <c r="N38" s="90"/>
      <c r="O38" s="90"/>
      <c r="P38" s="90"/>
      <c r="Q38" s="90"/>
      <c r="R38" s="89"/>
    </row>
    <row r="39" spans="1:18" ht="11.1" customHeight="1">
      <c r="A39" s="228"/>
      <c r="B39" s="93" t="s">
        <v>174</v>
      </c>
      <c r="C39" s="92"/>
      <c r="D39" s="79"/>
      <c r="E39" s="82"/>
      <c r="F39" s="91" t="s">
        <v>175</v>
      </c>
      <c r="G39" s="93"/>
      <c r="H39" s="93"/>
      <c r="I39" s="94"/>
      <c r="J39" s="78" t="s">
        <v>385</v>
      </c>
      <c r="K39" s="79"/>
      <c r="L39" s="79"/>
      <c r="M39" s="82"/>
      <c r="N39" s="78" t="s">
        <v>25</v>
      </c>
      <c r="O39" s="79"/>
      <c r="P39" s="79"/>
      <c r="Q39" s="82"/>
      <c r="R39" s="83"/>
    </row>
    <row r="40" spans="1:18" ht="15" customHeight="1">
      <c r="A40" s="228"/>
      <c r="B40" s="307"/>
      <c r="C40" s="305"/>
      <c r="D40" s="305"/>
      <c r="E40" s="306"/>
      <c r="F40" s="304"/>
      <c r="G40" s="305"/>
      <c r="H40" s="305"/>
      <c r="I40" s="306"/>
      <c r="J40" s="301"/>
      <c r="K40" s="302"/>
      <c r="L40" s="302"/>
      <c r="M40" s="303"/>
      <c r="N40" s="296"/>
      <c r="O40" s="300"/>
      <c r="P40" s="300"/>
      <c r="Q40" s="297"/>
      <c r="R40" s="83"/>
    </row>
    <row r="41" spans="1:18" ht="15" customHeight="1">
      <c r="A41" s="228"/>
      <c r="B41" s="308" t="s">
        <v>386</v>
      </c>
      <c r="C41" s="309"/>
      <c r="D41" s="309"/>
      <c r="E41" s="309"/>
      <c r="F41" s="309"/>
      <c r="G41" s="309"/>
      <c r="H41" s="309"/>
      <c r="I41" s="309"/>
      <c r="J41" s="309"/>
      <c r="K41" s="309"/>
      <c r="L41" s="309"/>
      <c r="M41" s="309"/>
      <c r="N41" s="309"/>
      <c r="O41" s="309"/>
      <c r="P41" s="309"/>
      <c r="Q41" s="310"/>
      <c r="R41" s="83"/>
    </row>
    <row r="42" spans="1:18" ht="15" customHeight="1">
      <c r="A42" s="229"/>
      <c r="B42" s="319" t="s">
        <v>409</v>
      </c>
      <c r="C42" s="320"/>
      <c r="D42" s="320"/>
      <c r="E42" s="320"/>
      <c r="F42" s="320"/>
      <c r="G42" s="320"/>
      <c r="H42" s="320"/>
      <c r="I42" s="320"/>
      <c r="J42" s="320"/>
      <c r="K42" s="320"/>
      <c r="L42" s="320"/>
      <c r="M42" s="320"/>
      <c r="N42" s="320"/>
      <c r="O42" s="320"/>
      <c r="P42" s="320"/>
      <c r="Q42" s="321"/>
      <c r="R42" s="85"/>
    </row>
    <row r="43" spans="1:18" ht="6" customHeight="1"/>
    <row r="44" spans="1:18" ht="12" customHeight="1">
      <c r="A44" s="86"/>
      <c r="B44" s="75" t="s">
        <v>31</v>
      </c>
      <c r="C44" s="75"/>
      <c r="D44" s="75"/>
      <c r="E44" s="75"/>
      <c r="F44" s="75"/>
      <c r="G44" s="75"/>
      <c r="H44" s="75"/>
      <c r="I44" s="75"/>
      <c r="J44" s="75"/>
      <c r="K44" s="75"/>
      <c r="L44" s="75"/>
      <c r="M44" s="75"/>
      <c r="N44" s="75"/>
      <c r="O44" s="75"/>
      <c r="P44" s="75"/>
      <c r="Q44" s="75"/>
      <c r="R44" s="89"/>
    </row>
    <row r="45" spans="1:18" ht="11.1" customHeight="1">
      <c r="A45" s="77"/>
      <c r="B45" s="78" t="s">
        <v>176</v>
      </c>
      <c r="C45" s="79"/>
      <c r="D45" s="79"/>
      <c r="E45" s="82"/>
      <c r="F45" s="78" t="s">
        <v>49</v>
      </c>
      <c r="G45" s="79"/>
      <c r="H45" s="79"/>
      <c r="I45" s="82"/>
      <c r="J45" s="78" t="s">
        <v>180</v>
      </c>
      <c r="K45" s="79"/>
      <c r="L45" s="79"/>
      <c r="M45" s="82"/>
      <c r="N45" s="78" t="s">
        <v>328</v>
      </c>
      <c r="O45" s="79"/>
      <c r="P45" s="79"/>
      <c r="Q45" s="82"/>
      <c r="R45" s="83"/>
    </row>
    <row r="46" spans="1:18" ht="15" customHeight="1">
      <c r="A46" s="84"/>
      <c r="B46" s="316"/>
      <c r="C46" s="317"/>
      <c r="D46" s="317"/>
      <c r="E46" s="318"/>
      <c r="F46" s="316"/>
      <c r="G46" s="317"/>
      <c r="H46" s="317"/>
      <c r="I46" s="318"/>
      <c r="J46" s="316"/>
      <c r="K46" s="317"/>
      <c r="L46" s="317"/>
      <c r="M46" s="318"/>
      <c r="N46" s="282"/>
      <c r="O46" s="314"/>
      <c r="P46" s="314"/>
      <c r="Q46" s="315"/>
      <c r="R46" s="85"/>
    </row>
    <row r="47" spans="1:18" ht="6" customHeight="1">
      <c r="B47" s="95"/>
      <c r="C47" s="95"/>
      <c r="D47" s="95"/>
      <c r="E47" s="95"/>
      <c r="F47" s="95"/>
      <c r="G47" s="95"/>
      <c r="H47" s="95"/>
      <c r="I47" s="95"/>
      <c r="J47" s="95"/>
      <c r="K47" s="95"/>
      <c r="L47" s="95"/>
      <c r="M47" s="95"/>
      <c r="N47" s="95"/>
      <c r="O47" s="95"/>
      <c r="P47" s="95"/>
      <c r="Q47" s="95"/>
    </row>
    <row r="48" spans="1:18" ht="12" customHeight="1">
      <c r="A48" s="86"/>
      <c r="B48" s="73" t="s">
        <v>172</v>
      </c>
      <c r="C48" s="75"/>
      <c r="D48" s="75"/>
      <c r="E48" s="75"/>
      <c r="F48" s="75"/>
      <c r="G48" s="75"/>
      <c r="H48" s="75"/>
      <c r="I48" s="75"/>
      <c r="J48" s="75"/>
      <c r="K48" s="75"/>
      <c r="L48" s="75"/>
      <c r="M48" s="75"/>
      <c r="N48" s="75"/>
      <c r="O48" s="75"/>
      <c r="P48" s="75"/>
      <c r="Q48" s="75"/>
      <c r="R48" s="89"/>
    </row>
    <row r="49" spans="1:20" ht="15" customHeight="1">
      <c r="A49" s="84"/>
      <c r="B49" s="311"/>
      <c r="C49" s="312"/>
      <c r="D49" s="312"/>
      <c r="E49" s="312"/>
      <c r="F49" s="312"/>
      <c r="G49" s="312"/>
      <c r="H49" s="312"/>
      <c r="I49" s="312"/>
      <c r="J49" s="312"/>
      <c r="K49" s="312"/>
      <c r="L49" s="312"/>
      <c r="M49" s="312"/>
      <c r="N49" s="312"/>
      <c r="O49" s="312"/>
      <c r="P49" s="312"/>
      <c r="Q49" s="313"/>
      <c r="R49" s="85"/>
    </row>
    <row r="50" spans="1:20" ht="15" customHeight="1">
      <c r="A50" s="84"/>
      <c r="B50" s="311"/>
      <c r="C50" s="327"/>
      <c r="D50" s="327"/>
      <c r="E50" s="327"/>
      <c r="F50" s="327"/>
      <c r="G50" s="327"/>
      <c r="H50" s="327"/>
      <c r="I50" s="327"/>
      <c r="J50" s="327"/>
      <c r="K50" s="327"/>
      <c r="L50" s="327"/>
      <c r="M50" s="327"/>
      <c r="N50" s="327"/>
      <c r="O50" s="327"/>
      <c r="P50" s="327"/>
      <c r="Q50" s="328"/>
      <c r="R50" s="85"/>
    </row>
    <row r="51" spans="1:20" ht="15" customHeight="1">
      <c r="A51" s="84"/>
      <c r="B51" s="311"/>
      <c r="C51" s="327"/>
      <c r="D51" s="327"/>
      <c r="E51" s="327"/>
      <c r="F51" s="327"/>
      <c r="G51" s="327"/>
      <c r="H51" s="327"/>
      <c r="I51" s="327"/>
      <c r="J51" s="327"/>
      <c r="K51" s="327"/>
      <c r="L51" s="327"/>
      <c r="M51" s="327"/>
      <c r="N51" s="327"/>
      <c r="O51" s="327"/>
      <c r="P51" s="327"/>
      <c r="Q51" s="328"/>
      <c r="R51" s="85"/>
    </row>
    <row r="52" spans="1:20" ht="15" customHeight="1">
      <c r="A52" s="84"/>
      <c r="B52" s="329" t="str">
        <f>IF(SUM(H58:I58)&gt;=1000,"* Free Shipping Qualified *","")</f>
        <v/>
      </c>
      <c r="C52" s="330"/>
      <c r="D52" s="330"/>
      <c r="E52" s="330"/>
      <c r="F52" s="330"/>
      <c r="G52" s="330"/>
      <c r="H52" s="330"/>
      <c r="I52" s="330"/>
      <c r="J52" s="330"/>
      <c r="K52" s="330"/>
      <c r="L52" s="330"/>
      <c r="M52" s="330"/>
      <c r="N52" s="330"/>
      <c r="O52" s="330"/>
      <c r="P52" s="330"/>
      <c r="Q52" s="331"/>
      <c r="R52" s="85"/>
    </row>
    <row r="53" spans="1:20" ht="6" customHeight="1">
      <c r="B53" s="95"/>
      <c r="C53" s="95"/>
      <c r="D53" s="95"/>
      <c r="E53" s="95"/>
      <c r="F53" s="95"/>
      <c r="G53" s="95"/>
      <c r="H53" s="95"/>
      <c r="I53" s="95"/>
      <c r="J53" s="95"/>
      <c r="K53" s="95"/>
      <c r="L53" s="95"/>
      <c r="M53" s="95"/>
      <c r="N53" s="95"/>
      <c r="O53" s="95"/>
      <c r="P53" s="95"/>
      <c r="Q53" s="95"/>
    </row>
    <row r="54" spans="1:20" ht="12" customHeight="1">
      <c r="A54" s="86"/>
      <c r="B54" s="75" t="s">
        <v>53</v>
      </c>
      <c r="C54" s="90"/>
      <c r="D54" s="90"/>
      <c r="E54" s="90"/>
      <c r="F54" s="90"/>
      <c r="G54" s="90"/>
      <c r="H54" s="90"/>
      <c r="I54" s="90"/>
      <c r="J54" s="90"/>
      <c r="K54" s="90"/>
      <c r="L54" s="90"/>
      <c r="M54" s="90"/>
      <c r="N54" s="90"/>
      <c r="O54" s="90"/>
      <c r="P54" s="90"/>
      <c r="Q54" s="90"/>
      <c r="R54" s="89"/>
    </row>
    <row r="55" spans="1:20" ht="11.1" customHeight="1">
      <c r="A55" s="77"/>
      <c r="B55" s="289" t="s">
        <v>369</v>
      </c>
      <c r="C55" s="290"/>
      <c r="D55" s="289" t="s">
        <v>9</v>
      </c>
      <c r="E55" s="290"/>
      <c r="F55" s="289" t="s">
        <v>54</v>
      </c>
      <c r="G55" s="290"/>
      <c r="H55" s="289" t="s">
        <v>445</v>
      </c>
      <c r="I55" s="290"/>
      <c r="J55" s="289" t="s">
        <v>360</v>
      </c>
      <c r="K55" s="290"/>
      <c r="L55" s="289" t="s">
        <v>444</v>
      </c>
      <c r="M55" s="290"/>
      <c r="N55" s="289" t="s">
        <v>396</v>
      </c>
      <c r="O55" s="290"/>
      <c r="P55" s="289" t="s">
        <v>370</v>
      </c>
      <c r="Q55" s="290"/>
      <c r="R55" s="83"/>
    </row>
    <row r="56" spans="1:20" ht="15" customHeight="1">
      <c r="A56" s="84"/>
      <c r="B56" s="282"/>
      <c r="C56" s="322"/>
      <c r="D56" s="282"/>
      <c r="E56" s="322"/>
      <c r="F56" s="282"/>
      <c r="G56" s="322"/>
      <c r="H56" s="334" t="str">
        <f>IF((+'Tropical Sno'!J236+'Swan Parts'!J96+'Soft Ice'!J49)&lt;&gt;0,ROUND((+'Tropical Sno'!J236+'Swan Parts'!J96+'Soft Ice'!J49+0.49),0),"")</f>
        <v/>
      </c>
      <c r="I56" s="335"/>
      <c r="J56" s="287" t="str">
        <f>IF(+'Tropical Sno'!K236+'Swan Parts'!K96+'Soft Ice'!K49=0,"",ROUND((+'Tropical Sno'!K236+'Swan Parts'!K96+'Soft Ice'!K49+0.4999),0))</f>
        <v/>
      </c>
      <c r="K56" s="288"/>
      <c r="L56" s="287" t="str">
        <f>IF((+'Tropical Sno'!Q236+'Swan Parts'!Q96+'Soft Ice'!Q49)&lt;&gt;0,ROUND((+'Tropical Sno'!Q236+'Swan Parts'!Q96+'Soft Ice'!Q49+0.49),0),"")</f>
        <v/>
      </c>
      <c r="M56" s="295"/>
      <c r="N56" s="293" t="str">
        <f>IF((+'Tropical Sno'!O236+'Swan Parts'!O96+'Soft Ice'!O49)&lt;&gt;0,((+'Tropical Sno'!O236+'Swan Parts'!O96+'Soft Ice'!O49)),"")</f>
        <v/>
      </c>
      <c r="O56" s="294"/>
      <c r="P56" s="325"/>
      <c r="Q56" s="326"/>
      <c r="R56" s="85"/>
      <c r="T56" s="156"/>
    </row>
    <row r="57" spans="1:20" ht="11.1" customHeight="1">
      <c r="A57" s="77"/>
      <c r="B57" s="289" t="s">
        <v>198</v>
      </c>
      <c r="C57" s="290"/>
      <c r="D57" s="289" t="s">
        <v>200</v>
      </c>
      <c r="E57" s="290"/>
      <c r="F57" s="289" t="s">
        <v>199</v>
      </c>
      <c r="G57" s="290"/>
      <c r="H57" s="289" t="s">
        <v>371</v>
      </c>
      <c r="I57" s="290"/>
      <c r="J57" s="289" t="s">
        <v>395</v>
      </c>
      <c r="K57" s="290"/>
      <c r="L57" s="289" t="s">
        <v>372</v>
      </c>
      <c r="M57" s="290"/>
      <c r="N57" s="291" t="s">
        <v>373</v>
      </c>
      <c r="O57" s="292"/>
      <c r="P57" s="291"/>
      <c r="Q57" s="292"/>
      <c r="R57" s="83"/>
    </row>
    <row r="58" spans="1:20" ht="15" customHeight="1">
      <c r="A58" s="84"/>
      <c r="B58" s="285" t="str">
        <f>IF(+'Tropical Sno'!G236&lt;&gt;0,+'Tropical Sno'!G236,"")</f>
        <v/>
      </c>
      <c r="C58" s="286"/>
      <c r="D58" s="285" t="str">
        <f>IF(+'Swan Parts'!G96&lt;&gt;0,+'Swan Parts'!G96,"")</f>
        <v/>
      </c>
      <c r="E58" s="286"/>
      <c r="F58" s="285" t="str">
        <f>IF(+'Soft Ice'!G49&lt;&gt;0,+'Soft Ice'!G49,"")</f>
        <v/>
      </c>
      <c r="G58" s="286"/>
      <c r="H58" s="285" t="str">
        <f>IF(SUM(B58:G58)&gt;0,SUM(B58:G58),"")</f>
        <v/>
      </c>
      <c r="I58" s="286"/>
      <c r="J58" s="332" t="str">
        <f>IF(L56&gt;149.9,"",IF((+'Tropical Sno'!$L$236+'Swan Parts'!$L$96+'Soft Ice'!$L$49+'Tropical Sno'!$M$236+'Swan Parts'!$M$96+'Soft Ice'!$M$49)&lt;&gt;0,((+'Tropical Sno'!$L$236+'Swan Parts'!$L$96+'Soft Ice'!$L$49+'Tropical Sno'!$M$236+'Swan Parts'!$M$96+'Soft Ice'!$M$49)),""))</f>
        <v/>
      </c>
      <c r="K58" s="333"/>
      <c r="L58" s="285" t="str">
        <f>IF((SUM(P56:Q56)+SUM(J58:K58))&gt;0,(SUM(P56:Q56)+SUM(J58:K58)),"")</f>
        <v/>
      </c>
      <c r="M58" s="286"/>
      <c r="N58" s="285" t="str">
        <f>IF((SUM(H58:I58)+SUM(L58:M58))&gt;0,(SUM(H58:I58)+SUM(L58:M58)),"")</f>
        <v/>
      </c>
      <c r="O58" s="286"/>
      <c r="P58" s="323"/>
      <c r="Q58" s="324"/>
      <c r="R58" s="85"/>
    </row>
    <row r="59" spans="1:20">
      <c r="B59" s="180" t="s">
        <v>377</v>
      </c>
      <c r="C59" s="131"/>
      <c r="D59" s="131"/>
      <c r="E59" s="131"/>
      <c r="F59" s="131"/>
      <c r="G59" s="131"/>
      <c r="H59" s="131"/>
      <c r="I59" s="131"/>
      <c r="J59" s="131"/>
      <c r="K59" s="131"/>
      <c r="L59" s="177"/>
      <c r="M59" s="178" t="s">
        <v>442</v>
      </c>
      <c r="N59" s="179">
        <v>43242</v>
      </c>
      <c r="O59" s="179"/>
      <c r="P59" s="131"/>
      <c r="Q59" s="131"/>
    </row>
  </sheetData>
  <sheetProtection sheet="1" objects="1" scenarios="1" formatCells="0" selectLockedCells="1"/>
  <dataConsolidate/>
  <mergeCells count="75">
    <mergeCell ref="P58:Q58"/>
    <mergeCell ref="P56:Q56"/>
    <mergeCell ref="B50:Q50"/>
    <mergeCell ref="B51:Q51"/>
    <mergeCell ref="B52:Q52"/>
    <mergeCell ref="D55:E55"/>
    <mergeCell ref="F55:G55"/>
    <mergeCell ref="N55:O55"/>
    <mergeCell ref="B55:C55"/>
    <mergeCell ref="B57:C57"/>
    <mergeCell ref="D57:E57"/>
    <mergeCell ref="D58:E58"/>
    <mergeCell ref="J57:K57"/>
    <mergeCell ref="J58:K58"/>
    <mergeCell ref="H56:I56"/>
    <mergeCell ref="N58:O58"/>
    <mergeCell ref="B46:E46"/>
    <mergeCell ref="F46:I46"/>
    <mergeCell ref="J46:M46"/>
    <mergeCell ref="B42:Q42"/>
    <mergeCell ref="P57:Q57"/>
    <mergeCell ref="B56:C56"/>
    <mergeCell ref="D56:E56"/>
    <mergeCell ref="F56:G56"/>
    <mergeCell ref="L55:M55"/>
    <mergeCell ref="P55:Q55"/>
    <mergeCell ref="N40:Q40"/>
    <mergeCell ref="H55:I55"/>
    <mergeCell ref="J55:K55"/>
    <mergeCell ref="N22:Q22"/>
    <mergeCell ref="B32:M32"/>
    <mergeCell ref="N32:Q32"/>
    <mergeCell ref="B34:G34"/>
    <mergeCell ref="H34:J34"/>
    <mergeCell ref="K34:M34"/>
    <mergeCell ref="N34:Q34"/>
    <mergeCell ref="J40:M40"/>
    <mergeCell ref="F40:I40"/>
    <mergeCell ref="B40:E40"/>
    <mergeCell ref="B41:Q41"/>
    <mergeCell ref="B49:Q49"/>
    <mergeCell ref="N46:Q46"/>
    <mergeCell ref="H11:K11"/>
    <mergeCell ref="L11:O11"/>
    <mergeCell ref="B11:E11"/>
    <mergeCell ref="B20:M20"/>
    <mergeCell ref="N20:Q20"/>
    <mergeCell ref="B16:G16"/>
    <mergeCell ref="P11:Q11"/>
    <mergeCell ref="F11:G11"/>
    <mergeCell ref="H16:Q16"/>
    <mergeCell ref="B18:Q18"/>
    <mergeCell ref="L58:M58"/>
    <mergeCell ref="N57:O57"/>
    <mergeCell ref="L57:M57"/>
    <mergeCell ref="N56:O56"/>
    <mergeCell ref="H58:I58"/>
    <mergeCell ref="L56:M56"/>
    <mergeCell ref="B58:C58"/>
    <mergeCell ref="F58:G58"/>
    <mergeCell ref="J56:K56"/>
    <mergeCell ref="F57:G57"/>
    <mergeCell ref="H57:I57"/>
    <mergeCell ref="B22:G22"/>
    <mergeCell ref="H22:J22"/>
    <mergeCell ref="K22:M22"/>
    <mergeCell ref="B36:E36"/>
    <mergeCell ref="F36:I36"/>
    <mergeCell ref="B24:E24"/>
    <mergeCell ref="F24:I24"/>
    <mergeCell ref="J24:Q24"/>
    <mergeCell ref="B28:M28"/>
    <mergeCell ref="N28:Q28"/>
    <mergeCell ref="B30:Q30"/>
    <mergeCell ref="J36:Q36"/>
  </mergeCells>
  <phoneticPr fontId="3" type="noConversion"/>
  <dataValidations count="6">
    <dataValidation type="list" allowBlank="1" showInputMessage="1" showErrorMessage="1" prompt="Select price Level" sqref="P11:Q11" xr:uid="{00000000-0002-0000-0000-000000000000}">
      <formula1>Price</formula1>
    </dataValidation>
    <dataValidation type="list" errorStyle="information" allowBlank="1" errorTitle="Please select from the drop down" promptTitle="Payment Type" sqref="B40" xr:uid="{00000000-0002-0000-0000-000001000000}">
      <formula1>Payment</formula1>
    </dataValidation>
    <dataValidation type="list" errorStyle="information" allowBlank="1" showErrorMessage="1" errorTitle="Please select from the drop down" sqref="F40" xr:uid="{00000000-0002-0000-0000-000002000000}">
      <formula1>Credit</formula1>
    </dataValidation>
    <dataValidation type="list" errorStyle="information" allowBlank="1" sqref="B46:E46" xr:uid="{00000000-0002-0000-0000-000003000000}">
      <formula1>Shipping</formula1>
    </dataValidation>
    <dataValidation type="list" allowBlank="1" sqref="F46:I46" xr:uid="{00000000-0002-0000-0000-000004000000}">
      <formula1>Additional</formula1>
    </dataValidation>
    <dataValidation type="list" allowBlank="1" sqref="J46:M46" xr:uid="{00000000-0002-0000-0000-000005000000}">
      <formula1>More</formula1>
    </dataValidation>
  </dataValidations>
  <hyperlinks>
    <hyperlink ref="M6" r:id="rId1" xr:uid="{00000000-0004-0000-0000-000000000000}"/>
  </hyperlinks>
  <printOptions horizontalCentered="1" verticalCentered="1"/>
  <pageMargins left="0.5" right="0.5" top="0.5" bottom="0.25" header="0" footer="0"/>
  <pageSetup fitToWidth="0" orientation="portrait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tabColor theme="4" tint="-0.499984740745262"/>
    <pageSetUpPr fitToPage="1"/>
  </sheetPr>
  <dimension ref="A1:Q241"/>
  <sheetViews>
    <sheetView showGridLines="0"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C6" sqref="C6"/>
    </sheetView>
  </sheetViews>
  <sheetFormatPr defaultColWidth="9.140625" defaultRowHeight="12.75"/>
  <cols>
    <col min="1" max="1" width="0.85546875" style="5" customWidth="1"/>
    <col min="2" max="2" width="13.7109375" style="5" customWidth="1"/>
    <col min="3" max="3" width="11.7109375" style="5" customWidth="1"/>
    <col min="4" max="4" width="48.7109375" style="40" customWidth="1"/>
    <col min="5" max="5" width="5.7109375" style="5" customWidth="1"/>
    <col min="6" max="6" width="10.7109375" style="5" customWidth="1"/>
    <col min="7" max="7" width="14.7109375" style="53" customWidth="1"/>
    <col min="8" max="8" width="0.85546875" style="5" customWidth="1"/>
    <col min="9" max="17" width="7.7109375" style="5" hidden="1" customWidth="1"/>
    <col min="18" max="18" width="2.7109375" style="5" customWidth="1"/>
    <col min="19" max="16384" width="9.140625" style="5"/>
  </cols>
  <sheetData>
    <row r="1" spans="1:17" ht="22.5">
      <c r="A1" s="1"/>
      <c r="B1" s="2" t="s">
        <v>198</v>
      </c>
      <c r="C1" s="2"/>
      <c r="D1" s="3"/>
      <c r="E1" s="4"/>
      <c r="F1" s="3"/>
      <c r="G1" s="3"/>
      <c r="H1" s="1"/>
    </row>
    <row r="2" spans="1:17" ht="12" customHeight="1">
      <c r="A2" s="6"/>
      <c r="B2" s="7" t="s">
        <v>6</v>
      </c>
      <c r="C2" s="7"/>
      <c r="D2" s="8" t="s">
        <v>10</v>
      </c>
      <c r="E2" s="7" t="s">
        <v>8</v>
      </c>
      <c r="F2" s="7"/>
      <c r="G2" s="9" t="s">
        <v>55</v>
      </c>
      <c r="H2" s="6"/>
    </row>
    <row r="3" spans="1:17" ht="15" customHeight="1">
      <c r="A3" s="10"/>
      <c r="B3" s="336" t="str">
        <f>IF(+Cover!B11="","",+Cover!B11)</f>
        <v/>
      </c>
      <c r="C3" s="337"/>
      <c r="D3" s="11" t="str">
        <f>IF(+Cover!B16="","",+Cover!B16)</f>
        <v/>
      </c>
      <c r="E3" s="338" t="str">
        <f>IF(+Cover!B56="","",+Cover!B56)</f>
        <v/>
      </c>
      <c r="F3" s="339"/>
      <c r="G3" s="12" t="str">
        <f>IF(+Cover!P11="","",+Cover!P11)</f>
        <v/>
      </c>
      <c r="H3" s="10"/>
    </row>
    <row r="4" spans="1:17" ht="12.75" customHeight="1">
      <c r="A4" s="1"/>
      <c r="B4" s="13"/>
      <c r="C4" s="13"/>
      <c r="D4" s="14"/>
      <c r="E4" s="1"/>
      <c r="F4" s="13"/>
      <c r="G4" s="15"/>
    </row>
    <row r="5" spans="1:17">
      <c r="A5" s="16"/>
      <c r="B5" s="7" t="s">
        <v>56</v>
      </c>
      <c r="C5" s="7" t="s">
        <v>59</v>
      </c>
      <c r="D5" s="8" t="s">
        <v>58</v>
      </c>
      <c r="E5" s="7" t="s">
        <v>57</v>
      </c>
      <c r="F5" s="7" t="s">
        <v>60</v>
      </c>
      <c r="G5" s="17" t="s">
        <v>61</v>
      </c>
      <c r="H5" s="16"/>
      <c r="I5" s="182" t="s">
        <v>379</v>
      </c>
      <c r="J5" s="182" t="s">
        <v>381</v>
      </c>
      <c r="K5" s="182" t="s">
        <v>380</v>
      </c>
      <c r="L5" s="191" t="s">
        <v>382</v>
      </c>
      <c r="M5" s="191" t="s">
        <v>383</v>
      </c>
      <c r="N5" s="182" t="s">
        <v>391</v>
      </c>
      <c r="O5" s="182" t="s">
        <v>488</v>
      </c>
      <c r="P5" s="247" t="s">
        <v>441</v>
      </c>
      <c r="Q5" s="247" t="s">
        <v>489</v>
      </c>
    </row>
    <row r="6" spans="1:17">
      <c r="A6" s="18"/>
      <c r="B6" s="19" t="s">
        <v>62</v>
      </c>
      <c r="C6" s="54"/>
      <c r="D6" s="21" t="s">
        <v>64</v>
      </c>
      <c r="E6" s="20" t="s">
        <v>63</v>
      </c>
      <c r="F6" s="22">
        <f>IF($G$3="Dealer A",10,IF($G$3="Dealer B",8,IF($G$3="Dealer C",7,IF($G$3="Dealer D",6,10))))</f>
        <v>10</v>
      </c>
      <c r="G6" s="23" t="str">
        <f t="shared" ref="G6:G32" si="0">IF(C6&gt;0,+(C6*F6),"")</f>
        <v/>
      </c>
      <c r="H6" s="18"/>
      <c r="I6" s="189">
        <v>0.2</v>
      </c>
      <c r="J6" s="188">
        <f>+C6*I6</f>
        <v>0</v>
      </c>
      <c r="K6" s="185">
        <f>+C6/200</f>
        <v>0</v>
      </c>
      <c r="L6" s="214"/>
      <c r="M6" s="214"/>
      <c r="N6" s="230">
        <f>10/1728</f>
        <v>5.7870370370370367E-3</v>
      </c>
      <c r="O6" s="232">
        <f>+C6*N6</f>
        <v>0</v>
      </c>
      <c r="P6" s="250">
        <f>((+N6*1728)/166)</f>
        <v>6.0240963855421686E-2</v>
      </c>
      <c r="Q6" s="249">
        <f>IF(P6&gt;I6,+P6*C6,+I6*C6)</f>
        <v>0</v>
      </c>
    </row>
    <row r="7" spans="1:17">
      <c r="A7" s="18"/>
      <c r="B7" s="19" t="s">
        <v>65</v>
      </c>
      <c r="C7" s="54"/>
      <c r="D7" s="21" t="s">
        <v>66</v>
      </c>
      <c r="E7" s="20" t="s">
        <v>63</v>
      </c>
      <c r="F7" s="22">
        <f t="shared" ref="F7:F32" si="1">IF($G$3="Dealer A",10,IF($G$3="Dealer B",8,IF($G$3="Dealer C",7,IF($G$3="Dealer D",6,10))))</f>
        <v>10</v>
      </c>
      <c r="G7" s="23" t="str">
        <f t="shared" si="0"/>
        <v/>
      </c>
      <c r="H7" s="18"/>
      <c r="I7" s="189">
        <v>0.2</v>
      </c>
      <c r="J7" s="188">
        <f t="shared" ref="J7:J32" si="2">+C7*I7</f>
        <v>0</v>
      </c>
      <c r="K7" s="185">
        <f t="shared" ref="K7:K32" si="3">+C7/200</f>
        <v>0</v>
      </c>
      <c r="L7" s="214"/>
      <c r="M7" s="214"/>
      <c r="N7" s="230">
        <f t="shared" ref="N7:N32" si="4">10/1728</f>
        <v>5.7870370370370367E-3</v>
      </c>
      <c r="O7" s="232">
        <f t="shared" ref="O7:O32" si="5">+C7*N7</f>
        <v>0</v>
      </c>
      <c r="P7" s="250">
        <f t="shared" ref="P7:P32" si="6">((+N7*1728)/166)</f>
        <v>6.0240963855421686E-2</v>
      </c>
      <c r="Q7" s="249">
        <f t="shared" ref="Q7:Q32" si="7">IF(P7&gt;I7,+P7*C7,+I7*C7)</f>
        <v>0</v>
      </c>
    </row>
    <row r="8" spans="1:17">
      <c r="A8" s="18"/>
      <c r="B8" s="19" t="s">
        <v>67</v>
      </c>
      <c r="C8" s="54"/>
      <c r="D8" s="21" t="s">
        <v>68</v>
      </c>
      <c r="E8" s="20" t="s">
        <v>63</v>
      </c>
      <c r="F8" s="22">
        <f t="shared" si="1"/>
        <v>10</v>
      </c>
      <c r="G8" s="23" t="str">
        <f t="shared" si="0"/>
        <v/>
      </c>
      <c r="H8" s="18"/>
      <c r="I8" s="189">
        <v>0.2</v>
      </c>
      <c r="J8" s="188">
        <f t="shared" si="2"/>
        <v>0</v>
      </c>
      <c r="K8" s="185">
        <f t="shared" si="3"/>
        <v>0</v>
      </c>
      <c r="L8" s="214"/>
      <c r="M8" s="214"/>
      <c r="N8" s="230">
        <f t="shared" si="4"/>
        <v>5.7870370370370367E-3</v>
      </c>
      <c r="O8" s="232">
        <f t="shared" si="5"/>
        <v>0</v>
      </c>
      <c r="P8" s="250">
        <f t="shared" si="6"/>
        <v>6.0240963855421686E-2</v>
      </c>
      <c r="Q8" s="249">
        <f t="shared" si="7"/>
        <v>0</v>
      </c>
    </row>
    <row r="9" spans="1:17">
      <c r="A9" s="18"/>
      <c r="B9" s="19" t="s">
        <v>446</v>
      </c>
      <c r="C9" s="54"/>
      <c r="D9" s="21" t="s">
        <v>447</v>
      </c>
      <c r="E9" s="20" t="s">
        <v>63</v>
      </c>
      <c r="F9" s="22">
        <f t="shared" si="1"/>
        <v>10</v>
      </c>
      <c r="G9" s="23" t="str">
        <f t="shared" si="0"/>
        <v/>
      </c>
      <c r="H9" s="18"/>
      <c r="I9" s="189">
        <v>0.2</v>
      </c>
      <c r="J9" s="188">
        <f t="shared" si="2"/>
        <v>0</v>
      </c>
      <c r="K9" s="185">
        <f t="shared" si="3"/>
        <v>0</v>
      </c>
      <c r="L9" s="214"/>
      <c r="M9" s="214"/>
      <c r="N9" s="230">
        <f t="shared" si="4"/>
        <v>5.7870370370370367E-3</v>
      </c>
      <c r="O9" s="232">
        <f t="shared" si="5"/>
        <v>0</v>
      </c>
      <c r="P9" s="250">
        <f t="shared" si="6"/>
        <v>6.0240963855421686E-2</v>
      </c>
      <c r="Q9" s="249">
        <f t="shared" si="7"/>
        <v>0</v>
      </c>
    </row>
    <row r="10" spans="1:17">
      <c r="A10" s="18"/>
      <c r="B10" s="19" t="s">
        <v>69</v>
      </c>
      <c r="C10" s="234"/>
      <c r="D10" s="21" t="s">
        <v>70</v>
      </c>
      <c r="E10" s="20" t="s">
        <v>63</v>
      </c>
      <c r="F10" s="22">
        <f t="shared" si="1"/>
        <v>10</v>
      </c>
      <c r="G10" s="23" t="str">
        <f t="shared" ref="G10" si="8">IF(C10&gt;0,+(C10*F10),"")</f>
        <v/>
      </c>
      <c r="H10" s="18"/>
      <c r="I10" s="189">
        <v>0.2</v>
      </c>
      <c r="J10" s="188">
        <f t="shared" ref="J10" si="9">+C10*I10</f>
        <v>0</v>
      </c>
      <c r="K10" s="185">
        <f t="shared" si="3"/>
        <v>0</v>
      </c>
      <c r="L10" s="214"/>
      <c r="M10" s="214"/>
      <c r="N10" s="230">
        <f t="shared" si="4"/>
        <v>5.7870370370370367E-3</v>
      </c>
      <c r="O10" s="232">
        <f t="shared" ref="O10" si="10">+C10*N10</f>
        <v>0</v>
      </c>
      <c r="P10" s="250">
        <f t="shared" ref="P10" si="11">((+N10*1728)/166)</f>
        <v>6.0240963855421686E-2</v>
      </c>
      <c r="Q10" s="249">
        <f t="shared" ref="Q10" si="12">IF(P10&gt;I10,+P10*C10,+I10*C10)</f>
        <v>0</v>
      </c>
    </row>
    <row r="11" spans="1:17">
      <c r="A11" s="18"/>
      <c r="B11" s="19" t="s">
        <v>71</v>
      </c>
      <c r="C11" s="54"/>
      <c r="D11" s="21" t="s">
        <v>72</v>
      </c>
      <c r="E11" s="20" t="s">
        <v>63</v>
      </c>
      <c r="F11" s="22">
        <f t="shared" si="1"/>
        <v>10</v>
      </c>
      <c r="G11" s="23" t="str">
        <f t="shared" si="0"/>
        <v/>
      </c>
      <c r="H11" s="18"/>
      <c r="I11" s="189">
        <v>0.2</v>
      </c>
      <c r="J11" s="188">
        <f t="shared" si="2"/>
        <v>0</v>
      </c>
      <c r="K11" s="185">
        <f t="shared" si="3"/>
        <v>0</v>
      </c>
      <c r="L11" s="214"/>
      <c r="M11" s="214"/>
      <c r="N11" s="230">
        <f t="shared" si="4"/>
        <v>5.7870370370370367E-3</v>
      </c>
      <c r="O11" s="232">
        <f t="shared" si="5"/>
        <v>0</v>
      </c>
      <c r="P11" s="250">
        <f t="shared" si="6"/>
        <v>6.0240963855421686E-2</v>
      </c>
      <c r="Q11" s="249">
        <f t="shared" si="7"/>
        <v>0</v>
      </c>
    </row>
    <row r="12" spans="1:17">
      <c r="A12" s="18"/>
      <c r="B12" s="19" t="s">
        <v>73</v>
      </c>
      <c r="C12" s="54"/>
      <c r="D12" s="21" t="s">
        <v>74</v>
      </c>
      <c r="E12" s="20" t="s">
        <v>63</v>
      </c>
      <c r="F12" s="22">
        <f t="shared" si="1"/>
        <v>10</v>
      </c>
      <c r="G12" s="23" t="str">
        <f t="shared" si="0"/>
        <v/>
      </c>
      <c r="H12" s="18"/>
      <c r="I12" s="189">
        <v>0.2</v>
      </c>
      <c r="J12" s="188">
        <f t="shared" si="2"/>
        <v>0</v>
      </c>
      <c r="K12" s="185">
        <f t="shared" si="3"/>
        <v>0</v>
      </c>
      <c r="L12" s="214"/>
      <c r="M12" s="214"/>
      <c r="N12" s="230">
        <f t="shared" si="4"/>
        <v>5.7870370370370367E-3</v>
      </c>
      <c r="O12" s="232">
        <f t="shared" si="5"/>
        <v>0</v>
      </c>
      <c r="P12" s="250">
        <f t="shared" si="6"/>
        <v>6.0240963855421686E-2</v>
      </c>
      <c r="Q12" s="249">
        <f t="shared" si="7"/>
        <v>0</v>
      </c>
    </row>
    <row r="13" spans="1:17">
      <c r="A13" s="18"/>
      <c r="B13" s="19" t="s">
        <v>75</v>
      </c>
      <c r="C13" s="54"/>
      <c r="D13" s="21" t="s">
        <v>76</v>
      </c>
      <c r="E13" s="20" t="s">
        <v>63</v>
      </c>
      <c r="F13" s="22">
        <f t="shared" si="1"/>
        <v>10</v>
      </c>
      <c r="G13" s="23" t="str">
        <f t="shared" si="0"/>
        <v/>
      </c>
      <c r="H13" s="18"/>
      <c r="I13" s="189">
        <v>0.2</v>
      </c>
      <c r="J13" s="188">
        <f t="shared" si="2"/>
        <v>0</v>
      </c>
      <c r="K13" s="185">
        <f t="shared" si="3"/>
        <v>0</v>
      </c>
      <c r="L13" s="214"/>
      <c r="M13" s="214"/>
      <c r="N13" s="230">
        <f t="shared" si="4"/>
        <v>5.7870370370370367E-3</v>
      </c>
      <c r="O13" s="232">
        <f t="shared" si="5"/>
        <v>0</v>
      </c>
      <c r="P13" s="250">
        <f t="shared" si="6"/>
        <v>6.0240963855421686E-2</v>
      </c>
      <c r="Q13" s="249">
        <f t="shared" si="7"/>
        <v>0</v>
      </c>
    </row>
    <row r="14" spans="1:17">
      <c r="A14" s="18"/>
      <c r="B14" s="19" t="s">
        <v>367</v>
      </c>
      <c r="C14" s="234"/>
      <c r="D14" s="21" t="s">
        <v>368</v>
      </c>
      <c r="E14" s="20" t="s">
        <v>63</v>
      </c>
      <c r="F14" s="22">
        <f t="shared" si="1"/>
        <v>10</v>
      </c>
      <c r="G14" s="23" t="str">
        <f>IF(C14&gt;0,+(C14*F14),"")</f>
        <v/>
      </c>
      <c r="H14" s="18"/>
      <c r="I14" s="189">
        <v>0.2</v>
      </c>
      <c r="J14" s="188">
        <f>+C14*I14</f>
        <v>0</v>
      </c>
      <c r="K14" s="185">
        <f t="shared" si="3"/>
        <v>0</v>
      </c>
      <c r="L14" s="214"/>
      <c r="M14" s="214"/>
      <c r="N14" s="230">
        <f t="shared" si="4"/>
        <v>5.7870370370370367E-3</v>
      </c>
      <c r="O14" s="232">
        <f t="shared" si="5"/>
        <v>0</v>
      </c>
      <c r="P14" s="250">
        <f t="shared" si="6"/>
        <v>6.0240963855421686E-2</v>
      </c>
      <c r="Q14" s="249">
        <f t="shared" si="7"/>
        <v>0</v>
      </c>
    </row>
    <row r="15" spans="1:17">
      <c r="A15" s="18"/>
      <c r="B15" s="19" t="s">
        <v>77</v>
      </c>
      <c r="C15" s="234"/>
      <c r="D15" s="21" t="s">
        <v>78</v>
      </c>
      <c r="E15" s="20" t="s">
        <v>63</v>
      </c>
      <c r="F15" s="22">
        <f t="shared" si="1"/>
        <v>10</v>
      </c>
      <c r="G15" s="23" t="str">
        <f t="shared" si="0"/>
        <v/>
      </c>
      <c r="H15" s="18"/>
      <c r="I15" s="189">
        <v>0.2</v>
      </c>
      <c r="J15" s="188">
        <f t="shared" si="2"/>
        <v>0</v>
      </c>
      <c r="K15" s="185">
        <f t="shared" si="3"/>
        <v>0</v>
      </c>
      <c r="L15" s="214"/>
      <c r="M15" s="214"/>
      <c r="N15" s="230">
        <f t="shared" si="4"/>
        <v>5.7870370370370367E-3</v>
      </c>
      <c r="O15" s="232">
        <f t="shared" si="5"/>
        <v>0</v>
      </c>
      <c r="P15" s="250">
        <f t="shared" si="6"/>
        <v>6.0240963855421686E-2</v>
      </c>
      <c r="Q15" s="249">
        <f t="shared" si="7"/>
        <v>0</v>
      </c>
    </row>
    <row r="16" spans="1:17">
      <c r="A16" s="18"/>
      <c r="B16" s="19" t="s">
        <v>364</v>
      </c>
      <c r="C16" s="234"/>
      <c r="D16" s="21" t="s">
        <v>116</v>
      </c>
      <c r="E16" s="20" t="s">
        <v>63</v>
      </c>
      <c r="F16" s="22">
        <f t="shared" si="1"/>
        <v>10</v>
      </c>
      <c r="G16" s="23" t="str">
        <f t="shared" si="0"/>
        <v/>
      </c>
      <c r="H16" s="18"/>
      <c r="I16" s="189">
        <v>0.2</v>
      </c>
      <c r="J16" s="188">
        <f t="shared" si="2"/>
        <v>0</v>
      </c>
      <c r="K16" s="185">
        <f t="shared" si="3"/>
        <v>0</v>
      </c>
      <c r="L16" s="214"/>
      <c r="M16" s="214"/>
      <c r="N16" s="230">
        <f t="shared" si="4"/>
        <v>5.7870370370370367E-3</v>
      </c>
      <c r="O16" s="232">
        <f t="shared" si="5"/>
        <v>0</v>
      </c>
      <c r="P16" s="250">
        <f t="shared" si="6"/>
        <v>6.0240963855421686E-2</v>
      </c>
      <c r="Q16" s="249">
        <f t="shared" si="7"/>
        <v>0</v>
      </c>
    </row>
    <row r="17" spans="1:17">
      <c r="A17" s="18"/>
      <c r="B17" s="19" t="s">
        <v>79</v>
      </c>
      <c r="C17" s="54"/>
      <c r="D17" s="21" t="s">
        <v>80</v>
      </c>
      <c r="E17" s="20" t="s">
        <v>63</v>
      </c>
      <c r="F17" s="22">
        <f t="shared" si="1"/>
        <v>10</v>
      </c>
      <c r="G17" s="23" t="str">
        <f t="shared" si="0"/>
        <v/>
      </c>
      <c r="H17" s="18"/>
      <c r="I17" s="189">
        <v>0.2</v>
      </c>
      <c r="J17" s="188">
        <f t="shared" si="2"/>
        <v>0</v>
      </c>
      <c r="K17" s="185">
        <f t="shared" si="3"/>
        <v>0</v>
      </c>
      <c r="L17" s="214"/>
      <c r="M17" s="214"/>
      <c r="N17" s="230">
        <f t="shared" si="4"/>
        <v>5.7870370370370367E-3</v>
      </c>
      <c r="O17" s="232">
        <f t="shared" si="5"/>
        <v>0</v>
      </c>
      <c r="P17" s="250">
        <f t="shared" si="6"/>
        <v>6.0240963855421686E-2</v>
      </c>
      <c r="Q17" s="249">
        <f t="shared" si="7"/>
        <v>0</v>
      </c>
    </row>
    <row r="18" spans="1:17">
      <c r="A18" s="18"/>
      <c r="B18" s="19" t="s">
        <v>81</v>
      </c>
      <c r="C18" s="54"/>
      <c r="D18" s="21" t="s">
        <v>82</v>
      </c>
      <c r="E18" s="20" t="s">
        <v>63</v>
      </c>
      <c r="F18" s="22">
        <f t="shared" si="1"/>
        <v>10</v>
      </c>
      <c r="G18" s="23" t="str">
        <f t="shared" si="0"/>
        <v/>
      </c>
      <c r="H18" s="18"/>
      <c r="I18" s="189">
        <v>0.2</v>
      </c>
      <c r="J18" s="188">
        <f t="shared" si="2"/>
        <v>0</v>
      </c>
      <c r="K18" s="185">
        <f t="shared" si="3"/>
        <v>0</v>
      </c>
      <c r="L18" s="214"/>
      <c r="M18" s="214"/>
      <c r="N18" s="230">
        <f t="shared" si="4"/>
        <v>5.7870370370370367E-3</v>
      </c>
      <c r="O18" s="232">
        <f t="shared" si="5"/>
        <v>0</v>
      </c>
      <c r="P18" s="250">
        <f t="shared" si="6"/>
        <v>6.0240963855421686E-2</v>
      </c>
      <c r="Q18" s="249">
        <f t="shared" si="7"/>
        <v>0</v>
      </c>
    </row>
    <row r="19" spans="1:17">
      <c r="A19" s="18"/>
      <c r="B19" s="19" t="s">
        <v>83</v>
      </c>
      <c r="C19" s="54"/>
      <c r="D19" s="21" t="s">
        <v>84</v>
      </c>
      <c r="E19" s="20" t="s">
        <v>63</v>
      </c>
      <c r="F19" s="22">
        <f t="shared" si="1"/>
        <v>10</v>
      </c>
      <c r="G19" s="23" t="str">
        <f t="shared" si="0"/>
        <v/>
      </c>
      <c r="H19" s="18"/>
      <c r="I19" s="189">
        <v>0.2</v>
      </c>
      <c r="J19" s="188">
        <f t="shared" si="2"/>
        <v>0</v>
      </c>
      <c r="K19" s="185">
        <f t="shared" si="3"/>
        <v>0</v>
      </c>
      <c r="L19" s="214"/>
      <c r="M19" s="214"/>
      <c r="N19" s="230">
        <f t="shared" si="4"/>
        <v>5.7870370370370367E-3</v>
      </c>
      <c r="O19" s="232">
        <f t="shared" si="5"/>
        <v>0</v>
      </c>
      <c r="P19" s="250">
        <f t="shared" si="6"/>
        <v>6.0240963855421686E-2</v>
      </c>
      <c r="Q19" s="249">
        <f t="shared" si="7"/>
        <v>0</v>
      </c>
    </row>
    <row r="20" spans="1:17">
      <c r="A20" s="18"/>
      <c r="B20" s="19" t="s">
        <v>85</v>
      </c>
      <c r="C20" s="54"/>
      <c r="D20" s="21" t="s">
        <v>86</v>
      </c>
      <c r="E20" s="20" t="s">
        <v>63</v>
      </c>
      <c r="F20" s="22">
        <f t="shared" si="1"/>
        <v>10</v>
      </c>
      <c r="G20" s="23" t="str">
        <f t="shared" si="0"/>
        <v/>
      </c>
      <c r="H20" s="18"/>
      <c r="I20" s="189">
        <v>0.2</v>
      </c>
      <c r="J20" s="188">
        <f t="shared" si="2"/>
        <v>0</v>
      </c>
      <c r="K20" s="185">
        <f t="shared" si="3"/>
        <v>0</v>
      </c>
      <c r="L20" s="214"/>
      <c r="M20" s="214"/>
      <c r="N20" s="230">
        <f t="shared" si="4"/>
        <v>5.7870370370370367E-3</v>
      </c>
      <c r="O20" s="232">
        <f t="shared" si="5"/>
        <v>0</v>
      </c>
      <c r="P20" s="250">
        <f t="shared" si="6"/>
        <v>6.0240963855421686E-2</v>
      </c>
      <c r="Q20" s="249">
        <f t="shared" si="7"/>
        <v>0</v>
      </c>
    </row>
    <row r="21" spans="1:17">
      <c r="A21" s="18"/>
      <c r="B21" s="19" t="s">
        <v>87</v>
      </c>
      <c r="C21" s="234"/>
      <c r="D21" s="21" t="s">
        <v>88</v>
      </c>
      <c r="E21" s="20" t="s">
        <v>63</v>
      </c>
      <c r="F21" s="22">
        <f t="shared" si="1"/>
        <v>10</v>
      </c>
      <c r="G21" s="23" t="str">
        <f t="shared" si="0"/>
        <v/>
      </c>
      <c r="H21" s="18"/>
      <c r="I21" s="189">
        <v>0.2</v>
      </c>
      <c r="J21" s="188">
        <f t="shared" si="2"/>
        <v>0</v>
      </c>
      <c r="K21" s="185">
        <f t="shared" si="3"/>
        <v>0</v>
      </c>
      <c r="L21" s="214"/>
      <c r="M21" s="214"/>
      <c r="N21" s="230">
        <f t="shared" si="4"/>
        <v>5.7870370370370367E-3</v>
      </c>
      <c r="O21" s="232">
        <f t="shared" si="5"/>
        <v>0</v>
      </c>
      <c r="P21" s="250">
        <f t="shared" si="6"/>
        <v>6.0240963855421686E-2</v>
      </c>
      <c r="Q21" s="249">
        <f t="shared" si="7"/>
        <v>0</v>
      </c>
    </row>
    <row r="22" spans="1:17">
      <c r="A22" s="18"/>
      <c r="B22" s="19" t="s">
        <v>89</v>
      </c>
      <c r="C22" s="234"/>
      <c r="D22" s="21" t="s">
        <v>90</v>
      </c>
      <c r="E22" s="20" t="s">
        <v>63</v>
      </c>
      <c r="F22" s="22">
        <f t="shared" si="1"/>
        <v>10</v>
      </c>
      <c r="G22" s="23" t="str">
        <f t="shared" si="0"/>
        <v/>
      </c>
      <c r="H22" s="18"/>
      <c r="I22" s="189">
        <v>0.2</v>
      </c>
      <c r="J22" s="188">
        <f t="shared" si="2"/>
        <v>0</v>
      </c>
      <c r="K22" s="185">
        <f t="shared" si="3"/>
        <v>0</v>
      </c>
      <c r="L22" s="214"/>
      <c r="M22" s="214"/>
      <c r="N22" s="230">
        <f t="shared" si="4"/>
        <v>5.7870370370370367E-3</v>
      </c>
      <c r="O22" s="232">
        <f t="shared" si="5"/>
        <v>0</v>
      </c>
      <c r="P22" s="250">
        <f t="shared" si="6"/>
        <v>6.0240963855421686E-2</v>
      </c>
      <c r="Q22" s="249">
        <f t="shared" si="7"/>
        <v>0</v>
      </c>
    </row>
    <row r="23" spans="1:17">
      <c r="A23" s="18"/>
      <c r="B23" s="19" t="s">
        <v>91</v>
      </c>
      <c r="C23" s="54"/>
      <c r="D23" s="21" t="s">
        <v>92</v>
      </c>
      <c r="E23" s="20" t="s">
        <v>63</v>
      </c>
      <c r="F23" s="22">
        <f t="shared" si="1"/>
        <v>10</v>
      </c>
      <c r="G23" s="23" t="str">
        <f t="shared" si="0"/>
        <v/>
      </c>
      <c r="H23" s="18"/>
      <c r="I23" s="189">
        <v>0.2</v>
      </c>
      <c r="J23" s="188">
        <f t="shared" si="2"/>
        <v>0</v>
      </c>
      <c r="K23" s="185">
        <f t="shared" si="3"/>
        <v>0</v>
      </c>
      <c r="L23" s="214"/>
      <c r="M23" s="214"/>
      <c r="N23" s="230">
        <f t="shared" si="4"/>
        <v>5.7870370370370367E-3</v>
      </c>
      <c r="O23" s="232">
        <f t="shared" si="5"/>
        <v>0</v>
      </c>
      <c r="P23" s="250">
        <f t="shared" si="6"/>
        <v>6.0240963855421686E-2</v>
      </c>
      <c r="Q23" s="249">
        <f t="shared" si="7"/>
        <v>0</v>
      </c>
    </row>
    <row r="24" spans="1:17">
      <c r="A24" s="18"/>
      <c r="B24" s="19" t="s">
        <v>93</v>
      </c>
      <c r="C24" s="54"/>
      <c r="D24" s="21" t="s">
        <v>94</v>
      </c>
      <c r="E24" s="20" t="s">
        <v>63</v>
      </c>
      <c r="F24" s="22">
        <f t="shared" si="1"/>
        <v>10</v>
      </c>
      <c r="G24" s="23" t="str">
        <f t="shared" si="0"/>
        <v/>
      </c>
      <c r="H24" s="18"/>
      <c r="I24" s="189">
        <v>0.2</v>
      </c>
      <c r="J24" s="188">
        <f t="shared" si="2"/>
        <v>0</v>
      </c>
      <c r="K24" s="185">
        <f t="shared" si="3"/>
        <v>0</v>
      </c>
      <c r="L24" s="214"/>
      <c r="M24" s="214"/>
      <c r="N24" s="230">
        <f t="shared" si="4"/>
        <v>5.7870370370370367E-3</v>
      </c>
      <c r="O24" s="232">
        <f t="shared" si="5"/>
        <v>0</v>
      </c>
      <c r="P24" s="250">
        <f t="shared" si="6"/>
        <v>6.0240963855421686E-2</v>
      </c>
      <c r="Q24" s="249">
        <f t="shared" si="7"/>
        <v>0</v>
      </c>
    </row>
    <row r="25" spans="1:17">
      <c r="A25" s="18"/>
      <c r="B25" s="19" t="s">
        <v>95</v>
      </c>
      <c r="C25" s="54"/>
      <c r="D25" s="21" t="s">
        <v>96</v>
      </c>
      <c r="E25" s="20" t="s">
        <v>63</v>
      </c>
      <c r="F25" s="22">
        <f t="shared" si="1"/>
        <v>10</v>
      </c>
      <c r="G25" s="23" t="str">
        <f t="shared" si="0"/>
        <v/>
      </c>
      <c r="H25" s="18"/>
      <c r="I25" s="189">
        <v>0.2</v>
      </c>
      <c r="J25" s="188">
        <f t="shared" si="2"/>
        <v>0</v>
      </c>
      <c r="K25" s="185">
        <f t="shared" si="3"/>
        <v>0</v>
      </c>
      <c r="L25" s="214"/>
      <c r="M25" s="214"/>
      <c r="N25" s="230">
        <f t="shared" si="4"/>
        <v>5.7870370370370367E-3</v>
      </c>
      <c r="O25" s="232">
        <f t="shared" si="5"/>
        <v>0</v>
      </c>
      <c r="P25" s="250">
        <f t="shared" si="6"/>
        <v>6.0240963855421686E-2</v>
      </c>
      <c r="Q25" s="249">
        <f t="shared" si="7"/>
        <v>0</v>
      </c>
    </row>
    <row r="26" spans="1:17">
      <c r="A26" s="18"/>
      <c r="B26" s="19" t="s">
        <v>97</v>
      </c>
      <c r="C26" s="54"/>
      <c r="D26" s="21" t="s">
        <v>98</v>
      </c>
      <c r="E26" s="20" t="s">
        <v>63</v>
      </c>
      <c r="F26" s="22">
        <f t="shared" si="1"/>
        <v>10</v>
      </c>
      <c r="G26" s="23" t="str">
        <f t="shared" si="0"/>
        <v/>
      </c>
      <c r="H26" s="18"/>
      <c r="I26" s="189">
        <v>0.2</v>
      </c>
      <c r="J26" s="188">
        <f t="shared" si="2"/>
        <v>0</v>
      </c>
      <c r="K26" s="185">
        <f t="shared" si="3"/>
        <v>0</v>
      </c>
      <c r="L26" s="214"/>
      <c r="M26" s="214"/>
      <c r="N26" s="230">
        <f t="shared" si="4"/>
        <v>5.7870370370370367E-3</v>
      </c>
      <c r="O26" s="232">
        <f t="shared" si="5"/>
        <v>0</v>
      </c>
      <c r="P26" s="250">
        <f t="shared" si="6"/>
        <v>6.0240963855421686E-2</v>
      </c>
      <c r="Q26" s="249">
        <f t="shared" si="7"/>
        <v>0</v>
      </c>
    </row>
    <row r="27" spans="1:17">
      <c r="A27" s="18"/>
      <c r="B27" s="19" t="s">
        <v>99</v>
      </c>
      <c r="C27" s="54"/>
      <c r="D27" s="21" t="s">
        <v>465</v>
      </c>
      <c r="E27" s="20" t="s">
        <v>63</v>
      </c>
      <c r="F27" s="22">
        <f t="shared" si="1"/>
        <v>10</v>
      </c>
      <c r="G27" s="23" t="str">
        <f t="shared" si="0"/>
        <v/>
      </c>
      <c r="H27" s="18"/>
      <c r="I27" s="189">
        <v>0.2</v>
      </c>
      <c r="J27" s="188">
        <f t="shared" si="2"/>
        <v>0</v>
      </c>
      <c r="K27" s="185">
        <f t="shared" si="3"/>
        <v>0</v>
      </c>
      <c r="L27" s="214"/>
      <c r="M27" s="214"/>
      <c r="N27" s="230">
        <f t="shared" si="4"/>
        <v>5.7870370370370367E-3</v>
      </c>
      <c r="O27" s="232">
        <f t="shared" si="5"/>
        <v>0</v>
      </c>
      <c r="P27" s="250">
        <f t="shared" si="6"/>
        <v>6.0240963855421686E-2</v>
      </c>
      <c r="Q27" s="249">
        <f t="shared" si="7"/>
        <v>0</v>
      </c>
    </row>
    <row r="28" spans="1:17">
      <c r="A28" s="18"/>
      <c r="B28" s="19" t="s">
        <v>100</v>
      </c>
      <c r="C28" s="54"/>
      <c r="D28" s="21" t="s">
        <v>101</v>
      </c>
      <c r="E28" s="20" t="s">
        <v>63</v>
      </c>
      <c r="F28" s="22">
        <f t="shared" si="1"/>
        <v>10</v>
      </c>
      <c r="G28" s="23" t="str">
        <f t="shared" si="0"/>
        <v/>
      </c>
      <c r="H28" s="18"/>
      <c r="I28" s="189">
        <v>0.2</v>
      </c>
      <c r="J28" s="188">
        <f t="shared" si="2"/>
        <v>0</v>
      </c>
      <c r="K28" s="185">
        <f t="shared" si="3"/>
        <v>0</v>
      </c>
      <c r="L28" s="214"/>
      <c r="M28" s="214"/>
      <c r="N28" s="230">
        <f t="shared" si="4"/>
        <v>5.7870370370370367E-3</v>
      </c>
      <c r="O28" s="232">
        <f t="shared" si="5"/>
        <v>0</v>
      </c>
      <c r="P28" s="250">
        <f t="shared" si="6"/>
        <v>6.0240963855421686E-2</v>
      </c>
      <c r="Q28" s="249">
        <f t="shared" si="7"/>
        <v>0</v>
      </c>
    </row>
    <row r="29" spans="1:17">
      <c r="A29" s="18"/>
      <c r="B29" s="19" t="s">
        <v>102</v>
      </c>
      <c r="C29" s="234"/>
      <c r="D29" s="21" t="s">
        <v>103</v>
      </c>
      <c r="E29" s="20" t="s">
        <v>63</v>
      </c>
      <c r="F29" s="22">
        <f t="shared" si="1"/>
        <v>10</v>
      </c>
      <c r="G29" s="23" t="str">
        <f t="shared" si="0"/>
        <v/>
      </c>
      <c r="H29" s="18"/>
      <c r="I29" s="189">
        <v>0.2</v>
      </c>
      <c r="J29" s="188">
        <f t="shared" si="2"/>
        <v>0</v>
      </c>
      <c r="K29" s="185">
        <f t="shared" si="3"/>
        <v>0</v>
      </c>
      <c r="L29" s="214"/>
      <c r="M29" s="214"/>
      <c r="N29" s="230">
        <f t="shared" si="4"/>
        <v>5.7870370370370367E-3</v>
      </c>
      <c r="O29" s="232">
        <f t="shared" si="5"/>
        <v>0</v>
      </c>
      <c r="P29" s="250">
        <f t="shared" si="6"/>
        <v>6.0240963855421686E-2</v>
      </c>
      <c r="Q29" s="249">
        <f t="shared" si="7"/>
        <v>0</v>
      </c>
    </row>
    <row r="30" spans="1:17">
      <c r="A30" s="18"/>
      <c r="B30" s="19" t="s">
        <v>104</v>
      </c>
      <c r="C30" s="54"/>
      <c r="D30" s="21" t="s">
        <v>105</v>
      </c>
      <c r="E30" s="20" t="s">
        <v>63</v>
      </c>
      <c r="F30" s="22">
        <f t="shared" si="1"/>
        <v>10</v>
      </c>
      <c r="G30" s="23" t="str">
        <f t="shared" si="0"/>
        <v/>
      </c>
      <c r="H30" s="18"/>
      <c r="I30" s="189">
        <v>0.2</v>
      </c>
      <c r="J30" s="188">
        <f t="shared" si="2"/>
        <v>0</v>
      </c>
      <c r="K30" s="185">
        <f t="shared" si="3"/>
        <v>0</v>
      </c>
      <c r="L30" s="214"/>
      <c r="M30" s="214"/>
      <c r="N30" s="230">
        <f t="shared" si="4"/>
        <v>5.7870370370370367E-3</v>
      </c>
      <c r="O30" s="232">
        <f t="shared" si="5"/>
        <v>0</v>
      </c>
      <c r="P30" s="250">
        <f t="shared" si="6"/>
        <v>6.0240963855421686E-2</v>
      </c>
      <c r="Q30" s="249">
        <f t="shared" si="7"/>
        <v>0</v>
      </c>
    </row>
    <row r="31" spans="1:17">
      <c r="A31" s="18"/>
      <c r="B31" s="24" t="s">
        <v>434</v>
      </c>
      <c r="C31" s="234"/>
      <c r="D31" s="26" t="s">
        <v>435</v>
      </c>
      <c r="E31" s="20" t="s">
        <v>63</v>
      </c>
      <c r="F31" s="22">
        <f t="shared" si="1"/>
        <v>10</v>
      </c>
      <c r="G31" s="23" t="str">
        <f t="shared" ref="G31" si="13">IF(C31&gt;0,+(C31*F31),"")</f>
        <v/>
      </c>
      <c r="H31" s="18"/>
      <c r="I31" s="189">
        <v>0.2</v>
      </c>
      <c r="J31" s="188">
        <f t="shared" ref="J31" si="14">+C31*I31</f>
        <v>0</v>
      </c>
      <c r="K31" s="185">
        <f t="shared" si="3"/>
        <v>0</v>
      </c>
      <c r="L31" s="214"/>
      <c r="M31" s="214"/>
      <c r="N31" s="230">
        <f t="shared" si="4"/>
        <v>5.7870370370370367E-3</v>
      </c>
      <c r="O31" s="232">
        <f t="shared" ref="O31" si="15">+C31*N31</f>
        <v>0</v>
      </c>
      <c r="P31" s="250">
        <f t="shared" si="6"/>
        <v>6.0240963855421686E-2</v>
      </c>
      <c r="Q31" s="249">
        <f t="shared" si="7"/>
        <v>0</v>
      </c>
    </row>
    <row r="32" spans="1:17">
      <c r="A32" s="18"/>
      <c r="B32" s="24" t="s">
        <v>106</v>
      </c>
      <c r="C32" s="234"/>
      <c r="D32" s="26" t="s">
        <v>107</v>
      </c>
      <c r="E32" s="25" t="s">
        <v>63</v>
      </c>
      <c r="F32" s="22">
        <f t="shared" si="1"/>
        <v>10</v>
      </c>
      <c r="G32" s="23" t="str">
        <f t="shared" si="0"/>
        <v/>
      </c>
      <c r="H32" s="18"/>
      <c r="I32" s="189">
        <v>0.2</v>
      </c>
      <c r="J32" s="188">
        <f t="shared" si="2"/>
        <v>0</v>
      </c>
      <c r="K32" s="185">
        <f t="shared" si="3"/>
        <v>0</v>
      </c>
      <c r="L32" s="214"/>
      <c r="M32" s="214"/>
      <c r="N32" s="230">
        <f t="shared" si="4"/>
        <v>5.7870370370370367E-3</v>
      </c>
      <c r="O32" s="232">
        <f t="shared" si="5"/>
        <v>0</v>
      </c>
      <c r="P32" s="250">
        <f t="shared" si="6"/>
        <v>6.0240963855421686E-2</v>
      </c>
      <c r="Q32" s="249">
        <f t="shared" si="7"/>
        <v>0</v>
      </c>
    </row>
    <row r="33" spans="1:17" ht="3" customHeight="1">
      <c r="A33" s="18"/>
      <c r="B33" s="6"/>
      <c r="C33" s="59"/>
      <c r="D33" s="58"/>
      <c r="E33" s="57"/>
      <c r="F33" s="55"/>
      <c r="G33" s="56"/>
      <c r="H33" s="18"/>
      <c r="I33" s="158"/>
      <c r="J33" s="158"/>
      <c r="K33" s="158"/>
      <c r="L33" s="158"/>
      <c r="M33" s="158"/>
      <c r="N33" s="158"/>
      <c r="O33" s="158"/>
      <c r="P33" s="248"/>
      <c r="Q33" s="248"/>
    </row>
    <row r="34" spans="1:17">
      <c r="A34" s="10"/>
      <c r="B34" s="137" t="s">
        <v>108</v>
      </c>
      <c r="C34" s="138" t="str">
        <f>IF(SUM(C6:C33)&gt;0,SUM(C6:C33),"")</f>
        <v/>
      </c>
      <c r="D34" s="139"/>
      <c r="E34" s="140"/>
      <c r="F34" s="141"/>
      <c r="G34" s="142" t="str">
        <f>IF(SUM(G6:G33)&gt;0,SUM(G6:G33),"")</f>
        <v/>
      </c>
      <c r="H34" s="10"/>
      <c r="I34" s="215"/>
      <c r="J34" s="215">
        <f>SUM(J6:J33)</f>
        <v>0</v>
      </c>
      <c r="K34" s="215">
        <f>SUM(K6:K33)</f>
        <v>0</v>
      </c>
      <c r="L34" s="211"/>
      <c r="M34" s="212"/>
      <c r="N34" s="215"/>
      <c r="O34" s="215">
        <f>SUM(O6:O33)</f>
        <v>0</v>
      </c>
      <c r="P34" s="215"/>
      <c r="Q34" s="215">
        <f>SUM(Q6:Q33)</f>
        <v>0</v>
      </c>
    </row>
    <row r="35" spans="1:17">
      <c r="A35" s="32"/>
      <c r="B35" s="32"/>
      <c r="C35" s="35"/>
      <c r="D35" s="34"/>
      <c r="E35" s="33"/>
      <c r="F35" s="1"/>
      <c r="G35" s="36"/>
      <c r="H35" s="32"/>
      <c r="I35" s="160"/>
      <c r="J35" s="160"/>
      <c r="K35" s="160"/>
    </row>
    <row r="36" spans="1:17">
      <c r="A36" s="16"/>
      <c r="B36" s="7" t="s">
        <v>56</v>
      </c>
      <c r="C36" s="7" t="s">
        <v>59</v>
      </c>
      <c r="D36" s="8" t="s">
        <v>109</v>
      </c>
      <c r="E36" s="7" t="s">
        <v>57</v>
      </c>
      <c r="F36" s="7" t="s">
        <v>60</v>
      </c>
      <c r="G36" s="37" t="s">
        <v>61</v>
      </c>
      <c r="H36" s="16"/>
      <c r="I36" s="182" t="s">
        <v>379</v>
      </c>
      <c r="J36" s="182" t="s">
        <v>381</v>
      </c>
      <c r="K36" s="182" t="s">
        <v>380</v>
      </c>
      <c r="L36" s="191" t="s">
        <v>382</v>
      </c>
      <c r="M36" s="191" t="s">
        <v>383</v>
      </c>
      <c r="N36" s="182" t="s">
        <v>391</v>
      </c>
      <c r="O36" s="182" t="s">
        <v>488</v>
      </c>
      <c r="P36" s="247" t="s">
        <v>441</v>
      </c>
      <c r="Q36" s="247" t="s">
        <v>489</v>
      </c>
    </row>
    <row r="37" spans="1:17">
      <c r="A37" s="18"/>
      <c r="B37" s="19" t="s">
        <v>110</v>
      </c>
      <c r="C37" s="54"/>
      <c r="D37" s="21" t="s">
        <v>111</v>
      </c>
      <c r="E37" s="20" t="s">
        <v>63</v>
      </c>
      <c r="F37" s="22">
        <f>IF($G$3="Dealer A",2.5,IF($G$3="Dealer B",2,IF($G$3="Dealer C",1.75,IF($G$3="Dealer D",1.5,2.5))))</f>
        <v>2.5</v>
      </c>
      <c r="G37" s="23" t="str">
        <f t="shared" ref="G37:G49" si="16">IF(C37&gt;0,+(C37*F37),"")</f>
        <v/>
      </c>
      <c r="H37" s="18"/>
      <c r="I37" s="189">
        <v>0.15</v>
      </c>
      <c r="J37" s="188">
        <f t="shared" ref="J37:J49" si="17">+C37*I37</f>
        <v>0</v>
      </c>
      <c r="K37" s="185">
        <f t="shared" ref="K37:K49" si="18">+C37/200</f>
        <v>0</v>
      </c>
      <c r="L37" s="214"/>
      <c r="M37" s="214"/>
      <c r="N37" s="230">
        <f t="shared" ref="N37:N49" si="19">10/1728</f>
        <v>5.7870370370370367E-3</v>
      </c>
      <c r="O37" s="232">
        <f>+C37*N37</f>
        <v>0</v>
      </c>
      <c r="P37" s="250">
        <f t="shared" ref="P37:P49" si="20">((+N37*1728)/166)</f>
        <v>6.0240963855421686E-2</v>
      </c>
      <c r="Q37" s="249">
        <f t="shared" ref="Q37:Q49" si="21">IF(P37&gt;I37,+P37*C37,+I37*C37)</f>
        <v>0</v>
      </c>
    </row>
    <row r="38" spans="1:17">
      <c r="A38" s="18"/>
      <c r="B38" s="19" t="s">
        <v>112</v>
      </c>
      <c r="C38" s="54"/>
      <c r="D38" s="21" t="s">
        <v>113</v>
      </c>
      <c r="E38" s="20" t="s">
        <v>63</v>
      </c>
      <c r="F38" s="22">
        <f t="shared" ref="F38:F49" si="22">IF($G$3="Dealer A",2.5,IF($G$3="Dealer B",2,IF($G$3="Dealer C",1.75,IF($G$3="Dealer D",1.5,2.5))))</f>
        <v>2.5</v>
      </c>
      <c r="G38" s="23" t="str">
        <f t="shared" si="16"/>
        <v/>
      </c>
      <c r="H38" s="18"/>
      <c r="I38" s="189">
        <v>0.15</v>
      </c>
      <c r="J38" s="188">
        <f t="shared" si="17"/>
        <v>0</v>
      </c>
      <c r="K38" s="185">
        <f t="shared" si="18"/>
        <v>0</v>
      </c>
      <c r="L38" s="214"/>
      <c r="M38" s="214"/>
      <c r="N38" s="230">
        <f t="shared" si="19"/>
        <v>5.7870370370370367E-3</v>
      </c>
      <c r="O38" s="232">
        <f t="shared" ref="O38:O49" si="23">+C38*N38</f>
        <v>0</v>
      </c>
      <c r="P38" s="250">
        <f t="shared" si="20"/>
        <v>6.0240963855421686E-2</v>
      </c>
      <c r="Q38" s="249">
        <f t="shared" si="21"/>
        <v>0</v>
      </c>
    </row>
    <row r="39" spans="1:17">
      <c r="A39" s="18"/>
      <c r="B39" s="19" t="s">
        <v>114</v>
      </c>
      <c r="C39" s="54"/>
      <c r="D39" s="21" t="s">
        <v>115</v>
      </c>
      <c r="E39" s="20" t="s">
        <v>63</v>
      </c>
      <c r="F39" s="22">
        <f t="shared" si="22"/>
        <v>2.5</v>
      </c>
      <c r="G39" s="23" t="str">
        <f t="shared" si="16"/>
        <v/>
      </c>
      <c r="H39" s="18"/>
      <c r="I39" s="189">
        <v>0.15</v>
      </c>
      <c r="J39" s="188">
        <f t="shared" si="17"/>
        <v>0</v>
      </c>
      <c r="K39" s="185">
        <f t="shared" si="18"/>
        <v>0</v>
      </c>
      <c r="L39" s="214"/>
      <c r="M39" s="214"/>
      <c r="N39" s="230">
        <f t="shared" si="19"/>
        <v>5.7870370370370367E-3</v>
      </c>
      <c r="O39" s="232">
        <f t="shared" si="23"/>
        <v>0</v>
      </c>
      <c r="P39" s="250">
        <f t="shared" si="20"/>
        <v>6.0240963855421686E-2</v>
      </c>
      <c r="Q39" s="249">
        <f t="shared" si="21"/>
        <v>0</v>
      </c>
    </row>
    <row r="40" spans="1:17">
      <c r="A40" s="18"/>
      <c r="B40" s="19" t="s">
        <v>353</v>
      </c>
      <c r="C40" s="54"/>
      <c r="D40" s="21" t="s">
        <v>352</v>
      </c>
      <c r="E40" s="20" t="s">
        <v>63</v>
      </c>
      <c r="F40" s="22">
        <f t="shared" si="22"/>
        <v>2.5</v>
      </c>
      <c r="G40" s="23" t="str">
        <f t="shared" si="16"/>
        <v/>
      </c>
      <c r="H40" s="18"/>
      <c r="I40" s="189">
        <v>0.15</v>
      </c>
      <c r="J40" s="188">
        <f t="shared" si="17"/>
        <v>0</v>
      </c>
      <c r="K40" s="185">
        <f t="shared" si="18"/>
        <v>0</v>
      </c>
      <c r="L40" s="214"/>
      <c r="M40" s="214"/>
      <c r="N40" s="230">
        <f t="shared" si="19"/>
        <v>5.7870370370370367E-3</v>
      </c>
      <c r="O40" s="232">
        <f t="shared" si="23"/>
        <v>0</v>
      </c>
      <c r="P40" s="250">
        <f t="shared" si="20"/>
        <v>6.0240963855421686E-2</v>
      </c>
      <c r="Q40" s="249">
        <f t="shared" si="21"/>
        <v>0</v>
      </c>
    </row>
    <row r="41" spans="1:17">
      <c r="A41" s="18"/>
      <c r="B41" s="19" t="s">
        <v>354</v>
      </c>
      <c r="C41" s="234"/>
      <c r="D41" s="21" t="s">
        <v>355</v>
      </c>
      <c r="E41" s="20" t="s">
        <v>63</v>
      </c>
      <c r="F41" s="22">
        <f t="shared" si="22"/>
        <v>2.5</v>
      </c>
      <c r="G41" s="23" t="str">
        <f t="shared" si="16"/>
        <v/>
      </c>
      <c r="H41" s="18"/>
      <c r="I41" s="189">
        <v>0.15</v>
      </c>
      <c r="J41" s="188">
        <f t="shared" si="17"/>
        <v>0</v>
      </c>
      <c r="K41" s="185">
        <f t="shared" si="18"/>
        <v>0</v>
      </c>
      <c r="L41" s="214"/>
      <c r="M41" s="214"/>
      <c r="N41" s="230">
        <f t="shared" si="19"/>
        <v>5.7870370370370367E-3</v>
      </c>
      <c r="O41" s="232">
        <f t="shared" si="23"/>
        <v>0</v>
      </c>
      <c r="P41" s="250">
        <f t="shared" si="20"/>
        <v>6.0240963855421686E-2</v>
      </c>
      <c r="Q41" s="249">
        <f t="shared" si="21"/>
        <v>0</v>
      </c>
    </row>
    <row r="42" spans="1:17">
      <c r="A42" s="18"/>
      <c r="B42" s="19" t="s">
        <v>117</v>
      </c>
      <c r="C42" s="54"/>
      <c r="D42" s="21" t="s">
        <v>118</v>
      </c>
      <c r="E42" s="20" t="s">
        <v>63</v>
      </c>
      <c r="F42" s="22">
        <f t="shared" si="22"/>
        <v>2.5</v>
      </c>
      <c r="G42" s="23" t="str">
        <f t="shared" si="16"/>
        <v/>
      </c>
      <c r="H42" s="18"/>
      <c r="I42" s="189">
        <v>0.15</v>
      </c>
      <c r="J42" s="188">
        <f t="shared" si="17"/>
        <v>0</v>
      </c>
      <c r="K42" s="185">
        <f t="shared" si="18"/>
        <v>0</v>
      </c>
      <c r="L42" s="214"/>
      <c r="M42" s="214"/>
      <c r="N42" s="230">
        <f t="shared" si="19"/>
        <v>5.7870370370370367E-3</v>
      </c>
      <c r="O42" s="232">
        <f t="shared" si="23"/>
        <v>0</v>
      </c>
      <c r="P42" s="250">
        <f t="shared" si="20"/>
        <v>6.0240963855421686E-2</v>
      </c>
      <c r="Q42" s="249">
        <f t="shared" si="21"/>
        <v>0</v>
      </c>
    </row>
    <row r="43" spans="1:17">
      <c r="A43" s="18"/>
      <c r="B43" s="19" t="s">
        <v>356</v>
      </c>
      <c r="C43" s="234"/>
      <c r="D43" s="21" t="s">
        <v>357</v>
      </c>
      <c r="E43" s="20" t="s">
        <v>63</v>
      </c>
      <c r="F43" s="22">
        <f t="shared" si="22"/>
        <v>2.5</v>
      </c>
      <c r="G43" s="23" t="str">
        <f t="shared" si="16"/>
        <v/>
      </c>
      <c r="H43" s="18"/>
      <c r="I43" s="189">
        <v>0.15</v>
      </c>
      <c r="J43" s="188">
        <f t="shared" si="17"/>
        <v>0</v>
      </c>
      <c r="K43" s="185">
        <f t="shared" si="18"/>
        <v>0</v>
      </c>
      <c r="L43" s="214"/>
      <c r="M43" s="214"/>
      <c r="N43" s="230">
        <f t="shared" si="19"/>
        <v>5.7870370370370367E-3</v>
      </c>
      <c r="O43" s="232">
        <f t="shared" si="23"/>
        <v>0</v>
      </c>
      <c r="P43" s="250">
        <f t="shared" si="20"/>
        <v>6.0240963855421686E-2</v>
      </c>
      <c r="Q43" s="249">
        <f t="shared" si="21"/>
        <v>0</v>
      </c>
    </row>
    <row r="44" spans="1:17">
      <c r="A44" s="18"/>
      <c r="B44" s="19" t="s">
        <v>119</v>
      </c>
      <c r="C44" s="265"/>
      <c r="D44" s="21" t="s">
        <v>120</v>
      </c>
      <c r="E44" s="20" t="s">
        <v>63</v>
      </c>
      <c r="F44" s="22">
        <f t="shared" si="22"/>
        <v>2.5</v>
      </c>
      <c r="G44" s="23" t="str">
        <f t="shared" si="16"/>
        <v/>
      </c>
      <c r="H44" s="18"/>
      <c r="I44" s="189">
        <v>0.15</v>
      </c>
      <c r="J44" s="188">
        <f t="shared" si="17"/>
        <v>0</v>
      </c>
      <c r="K44" s="185">
        <f t="shared" si="18"/>
        <v>0</v>
      </c>
      <c r="L44" s="214"/>
      <c r="M44" s="214"/>
      <c r="N44" s="230">
        <f t="shared" si="19"/>
        <v>5.7870370370370367E-3</v>
      </c>
      <c r="O44" s="232">
        <f t="shared" si="23"/>
        <v>0</v>
      </c>
      <c r="P44" s="250">
        <f t="shared" si="20"/>
        <v>6.0240963855421686E-2</v>
      </c>
      <c r="Q44" s="249">
        <f t="shared" si="21"/>
        <v>0</v>
      </c>
    </row>
    <row r="45" spans="1:17">
      <c r="A45" s="18"/>
      <c r="B45" s="19" t="s">
        <v>121</v>
      </c>
      <c r="C45" s="54"/>
      <c r="D45" s="21" t="s">
        <v>122</v>
      </c>
      <c r="E45" s="20" t="s">
        <v>63</v>
      </c>
      <c r="F45" s="22">
        <f t="shared" si="22"/>
        <v>2.5</v>
      </c>
      <c r="G45" s="23" t="str">
        <f t="shared" si="16"/>
        <v/>
      </c>
      <c r="H45" s="18"/>
      <c r="I45" s="189">
        <v>0.15</v>
      </c>
      <c r="J45" s="188">
        <f t="shared" si="17"/>
        <v>0</v>
      </c>
      <c r="K45" s="185">
        <f t="shared" si="18"/>
        <v>0</v>
      </c>
      <c r="L45" s="214"/>
      <c r="M45" s="214"/>
      <c r="N45" s="230">
        <f t="shared" si="19"/>
        <v>5.7870370370370367E-3</v>
      </c>
      <c r="O45" s="232">
        <f t="shared" si="23"/>
        <v>0</v>
      </c>
      <c r="P45" s="250">
        <f t="shared" si="20"/>
        <v>6.0240963855421686E-2</v>
      </c>
      <c r="Q45" s="249">
        <f t="shared" si="21"/>
        <v>0</v>
      </c>
    </row>
    <row r="46" spans="1:17">
      <c r="A46" s="18"/>
      <c r="B46" s="19" t="s">
        <v>123</v>
      </c>
      <c r="C46" s="54"/>
      <c r="D46" s="21" t="s">
        <v>124</v>
      </c>
      <c r="E46" s="20" t="s">
        <v>63</v>
      </c>
      <c r="F46" s="22">
        <f t="shared" si="22"/>
        <v>2.5</v>
      </c>
      <c r="G46" s="23" t="str">
        <f t="shared" si="16"/>
        <v/>
      </c>
      <c r="H46" s="18"/>
      <c r="I46" s="189">
        <v>0.15</v>
      </c>
      <c r="J46" s="188">
        <f t="shared" si="17"/>
        <v>0</v>
      </c>
      <c r="K46" s="185">
        <f t="shared" si="18"/>
        <v>0</v>
      </c>
      <c r="L46" s="214"/>
      <c r="M46" s="214"/>
      <c r="N46" s="230">
        <f t="shared" si="19"/>
        <v>5.7870370370370367E-3</v>
      </c>
      <c r="O46" s="232">
        <f t="shared" si="23"/>
        <v>0</v>
      </c>
      <c r="P46" s="250">
        <f t="shared" si="20"/>
        <v>6.0240963855421686E-2</v>
      </c>
      <c r="Q46" s="249">
        <f t="shared" si="21"/>
        <v>0</v>
      </c>
    </row>
    <row r="47" spans="1:17">
      <c r="A47" s="18"/>
      <c r="B47" s="19" t="s">
        <v>125</v>
      </c>
      <c r="C47" s="234"/>
      <c r="D47" s="21" t="s">
        <v>126</v>
      </c>
      <c r="E47" s="20" t="s">
        <v>63</v>
      </c>
      <c r="F47" s="22">
        <f t="shared" si="22"/>
        <v>2.5</v>
      </c>
      <c r="G47" s="23" t="str">
        <f t="shared" si="16"/>
        <v/>
      </c>
      <c r="H47" s="18"/>
      <c r="I47" s="189">
        <v>0.15</v>
      </c>
      <c r="J47" s="188">
        <f t="shared" si="17"/>
        <v>0</v>
      </c>
      <c r="K47" s="185">
        <f t="shared" si="18"/>
        <v>0</v>
      </c>
      <c r="L47" s="214"/>
      <c r="M47" s="214"/>
      <c r="N47" s="230">
        <f t="shared" si="19"/>
        <v>5.7870370370370367E-3</v>
      </c>
      <c r="O47" s="232">
        <f t="shared" si="23"/>
        <v>0</v>
      </c>
      <c r="P47" s="250">
        <f t="shared" si="20"/>
        <v>6.0240963855421686E-2</v>
      </c>
      <c r="Q47" s="249">
        <f t="shared" si="21"/>
        <v>0</v>
      </c>
    </row>
    <row r="48" spans="1:17">
      <c r="A48" s="18"/>
      <c r="B48" s="19" t="s">
        <v>127</v>
      </c>
      <c r="C48" s="54"/>
      <c r="D48" s="21" t="s">
        <v>128</v>
      </c>
      <c r="E48" s="20" t="s">
        <v>63</v>
      </c>
      <c r="F48" s="22">
        <f t="shared" si="22"/>
        <v>2.5</v>
      </c>
      <c r="G48" s="23" t="str">
        <f t="shared" si="16"/>
        <v/>
      </c>
      <c r="H48" s="18"/>
      <c r="I48" s="189">
        <v>0.15</v>
      </c>
      <c r="J48" s="188">
        <f t="shared" si="17"/>
        <v>0</v>
      </c>
      <c r="K48" s="185">
        <f t="shared" si="18"/>
        <v>0</v>
      </c>
      <c r="L48" s="214"/>
      <c r="M48" s="214"/>
      <c r="N48" s="230">
        <f t="shared" si="19"/>
        <v>5.7870370370370367E-3</v>
      </c>
      <c r="O48" s="232">
        <f t="shared" si="23"/>
        <v>0</v>
      </c>
      <c r="P48" s="250">
        <f t="shared" si="20"/>
        <v>6.0240963855421686E-2</v>
      </c>
      <c r="Q48" s="249">
        <f t="shared" si="21"/>
        <v>0</v>
      </c>
    </row>
    <row r="49" spans="1:17">
      <c r="A49" s="18"/>
      <c r="B49" s="19" t="s">
        <v>129</v>
      </c>
      <c r="C49" s="54"/>
      <c r="D49" s="21" t="s">
        <v>130</v>
      </c>
      <c r="E49" s="20" t="s">
        <v>63</v>
      </c>
      <c r="F49" s="22">
        <f t="shared" si="22"/>
        <v>2.5</v>
      </c>
      <c r="G49" s="23" t="str">
        <f t="shared" si="16"/>
        <v/>
      </c>
      <c r="H49" s="18"/>
      <c r="I49" s="189">
        <v>0.15</v>
      </c>
      <c r="J49" s="188">
        <f t="shared" si="17"/>
        <v>0</v>
      </c>
      <c r="K49" s="185">
        <f t="shared" si="18"/>
        <v>0</v>
      </c>
      <c r="L49" s="214"/>
      <c r="M49" s="214"/>
      <c r="N49" s="230">
        <f t="shared" si="19"/>
        <v>5.7870370370370367E-3</v>
      </c>
      <c r="O49" s="232">
        <f t="shared" si="23"/>
        <v>0</v>
      </c>
      <c r="P49" s="250">
        <f t="shared" si="20"/>
        <v>6.0240963855421686E-2</v>
      </c>
      <c r="Q49" s="249">
        <f t="shared" si="21"/>
        <v>0</v>
      </c>
    </row>
    <row r="50" spans="1:17" ht="3" customHeight="1">
      <c r="A50" s="18"/>
      <c r="B50" s="27"/>
      <c r="C50" s="30"/>
      <c r="D50" s="29"/>
      <c r="E50" s="28"/>
      <c r="F50" s="38"/>
      <c r="G50" s="31"/>
      <c r="H50" s="18"/>
      <c r="I50" s="158"/>
      <c r="J50" s="158"/>
      <c r="K50" s="158"/>
      <c r="L50" s="158"/>
      <c r="M50" s="158"/>
      <c r="N50" s="158"/>
      <c r="O50" s="158"/>
      <c r="P50" s="248"/>
      <c r="Q50" s="248"/>
    </row>
    <row r="51" spans="1:17">
      <c r="A51" s="10"/>
      <c r="B51" s="137" t="s">
        <v>108</v>
      </c>
      <c r="C51" s="138" t="str">
        <f>IF(SUM(C37:C50)&gt;0,SUM(C37:C50),"")</f>
        <v/>
      </c>
      <c r="D51" s="139"/>
      <c r="E51" s="140"/>
      <c r="F51" s="141"/>
      <c r="G51" s="142" t="str">
        <f>IF(SUM(G37:G50)&gt;0,SUM(G37:G50),"")</f>
        <v/>
      </c>
      <c r="H51" s="10"/>
      <c r="I51" s="215"/>
      <c r="J51" s="215">
        <f>SUM(J37:J50)</f>
        <v>0</v>
      </c>
      <c r="K51" s="215">
        <f>SUM(K37:K50)</f>
        <v>0</v>
      </c>
      <c r="L51" s="211"/>
      <c r="M51" s="212"/>
      <c r="N51" s="215"/>
      <c r="O51" s="215">
        <f>SUM(O37:O50)</f>
        <v>0</v>
      </c>
      <c r="P51" s="215"/>
      <c r="Q51" s="215">
        <f>SUM(Q37:Q50)</f>
        <v>0</v>
      </c>
    </row>
    <row r="52" spans="1:17">
      <c r="A52" s="32"/>
      <c r="B52" s="32"/>
      <c r="C52" s="35"/>
      <c r="D52" s="34"/>
      <c r="E52" s="33"/>
      <c r="F52" s="1"/>
      <c r="G52" s="36"/>
      <c r="H52" s="32"/>
      <c r="I52" s="160"/>
      <c r="J52" s="160"/>
      <c r="K52" s="160"/>
    </row>
    <row r="53" spans="1:17">
      <c r="A53" s="16"/>
      <c r="B53" s="7" t="s">
        <v>56</v>
      </c>
      <c r="C53" s="7" t="s">
        <v>59</v>
      </c>
      <c r="D53" s="8" t="s">
        <v>131</v>
      </c>
      <c r="E53" s="7" t="s">
        <v>57</v>
      </c>
      <c r="F53" s="7" t="s">
        <v>60</v>
      </c>
      <c r="G53" s="37" t="s">
        <v>61</v>
      </c>
      <c r="H53" s="16"/>
      <c r="I53" s="182" t="s">
        <v>379</v>
      </c>
      <c r="J53" s="182" t="s">
        <v>381</v>
      </c>
      <c r="K53" s="182" t="s">
        <v>380</v>
      </c>
      <c r="L53" s="191" t="s">
        <v>382</v>
      </c>
      <c r="M53" s="191" t="s">
        <v>383</v>
      </c>
      <c r="N53" s="182" t="s">
        <v>391</v>
      </c>
      <c r="O53" s="182" t="s">
        <v>488</v>
      </c>
      <c r="P53" s="247" t="s">
        <v>441</v>
      </c>
      <c r="Q53" s="247" t="s">
        <v>489</v>
      </c>
    </row>
    <row r="54" spans="1:17">
      <c r="A54" s="39"/>
      <c r="B54" s="19" t="s">
        <v>461</v>
      </c>
      <c r="C54" s="54"/>
      <c r="D54" s="21" t="s">
        <v>462</v>
      </c>
      <c r="E54" s="20" t="s">
        <v>63</v>
      </c>
      <c r="F54" s="23">
        <v>2.5</v>
      </c>
      <c r="G54" s="23" t="str">
        <f>IF(C54&gt;0,+(C54*F54),"")</f>
        <v/>
      </c>
      <c r="H54" s="18"/>
      <c r="I54" s="189">
        <v>1</v>
      </c>
      <c r="J54" s="188">
        <f>+C54*I54</f>
        <v>0</v>
      </c>
      <c r="K54" s="185">
        <f>+C54/20</f>
        <v>0</v>
      </c>
      <c r="L54" s="233"/>
      <c r="M54" s="233"/>
      <c r="N54" s="230">
        <f>56/1728</f>
        <v>3.2407407407407406E-2</v>
      </c>
      <c r="O54" s="232">
        <f>+C54*N54</f>
        <v>0</v>
      </c>
      <c r="P54" s="250">
        <f t="shared" ref="P54:P57" si="24">((+N54*1728)/166)</f>
        <v>0.33734939759036142</v>
      </c>
      <c r="Q54" s="249">
        <f t="shared" ref="Q54:Q57" si="25">IF(P54&gt;I54,+P54*C54,+I54*C54)</f>
        <v>0</v>
      </c>
    </row>
    <row r="55" spans="1:17">
      <c r="A55" s="39"/>
      <c r="B55" s="19" t="s">
        <v>464</v>
      </c>
      <c r="C55" s="234"/>
      <c r="D55" s="21" t="s">
        <v>463</v>
      </c>
      <c r="E55" s="20" t="s">
        <v>63</v>
      </c>
      <c r="F55" s="23">
        <v>2.5</v>
      </c>
      <c r="G55" s="23" t="str">
        <f t="shared" ref="G55" si="26">IF(C55&gt;0,+(C55*F55),"")</f>
        <v/>
      </c>
      <c r="H55" s="18"/>
      <c r="I55" s="189">
        <v>1</v>
      </c>
      <c r="J55" s="188">
        <f t="shared" ref="J55" si="27">+C55*I55</f>
        <v>0</v>
      </c>
      <c r="K55" s="185">
        <f t="shared" ref="K55:K56" si="28">+C55/20</f>
        <v>0</v>
      </c>
      <c r="L55" s="233"/>
      <c r="M55" s="233"/>
      <c r="N55" s="230">
        <f t="shared" ref="N55" si="29">56/1728</f>
        <v>3.2407407407407406E-2</v>
      </c>
      <c r="O55" s="232">
        <f t="shared" ref="O55" si="30">+C55*N55</f>
        <v>0</v>
      </c>
      <c r="P55" s="250">
        <f t="shared" ref="P55" si="31">((+N55*1728)/166)</f>
        <v>0.33734939759036142</v>
      </c>
      <c r="Q55" s="249">
        <f t="shared" ref="Q55" si="32">IF(P55&gt;I55,+P55*C55,+I55*C55)</f>
        <v>0</v>
      </c>
    </row>
    <row r="56" spans="1:17">
      <c r="A56" s="39"/>
      <c r="B56" s="19" t="s">
        <v>333</v>
      </c>
      <c r="C56" s="234"/>
      <c r="D56" s="21" t="s">
        <v>411</v>
      </c>
      <c r="E56" s="20" t="s">
        <v>63</v>
      </c>
      <c r="F56" s="23">
        <v>2.5</v>
      </c>
      <c r="G56" s="23" t="str">
        <f>IF(C56&gt;0,+(C56*F56),"")</f>
        <v/>
      </c>
      <c r="H56" s="18"/>
      <c r="I56" s="189">
        <v>1</v>
      </c>
      <c r="J56" s="188">
        <f>+C56*I56</f>
        <v>0</v>
      </c>
      <c r="K56" s="185">
        <f t="shared" si="28"/>
        <v>0</v>
      </c>
      <c r="L56" s="233"/>
      <c r="M56" s="233"/>
      <c r="N56" s="230">
        <f>56/1728</f>
        <v>3.2407407407407406E-2</v>
      </c>
      <c r="O56" s="232">
        <f t="shared" ref="O56:O57" si="33">+C56*N56</f>
        <v>0</v>
      </c>
      <c r="P56" s="250">
        <f t="shared" si="24"/>
        <v>0.33734939759036142</v>
      </c>
      <c r="Q56" s="249">
        <f t="shared" si="25"/>
        <v>0</v>
      </c>
    </row>
    <row r="57" spans="1:17">
      <c r="A57" s="39"/>
      <c r="B57" s="19" t="s">
        <v>132</v>
      </c>
      <c r="C57" s="265"/>
      <c r="D57" s="21" t="s">
        <v>412</v>
      </c>
      <c r="E57" s="20" t="s">
        <v>135</v>
      </c>
      <c r="F57" s="22">
        <v>22</v>
      </c>
      <c r="G57" s="23" t="str">
        <f>IF(C57&gt;0,+(C57*F57),"")</f>
        <v/>
      </c>
      <c r="H57" s="39"/>
      <c r="I57" s="189">
        <f>27/4</f>
        <v>6.75</v>
      </c>
      <c r="J57" s="188">
        <f>+C57*I57</f>
        <v>0</v>
      </c>
      <c r="K57" s="185">
        <f>+C57/4</f>
        <v>0</v>
      </c>
      <c r="L57" s="214"/>
      <c r="M57" s="214"/>
      <c r="N57" s="230">
        <f>360/1728</f>
        <v>0.20833333333333334</v>
      </c>
      <c r="O57" s="232">
        <f t="shared" si="33"/>
        <v>0</v>
      </c>
      <c r="P57" s="250">
        <f t="shared" si="24"/>
        <v>2.1686746987951806</v>
      </c>
      <c r="Q57" s="249">
        <f t="shared" si="25"/>
        <v>0</v>
      </c>
    </row>
    <row r="58" spans="1:17" ht="3" customHeight="1">
      <c r="A58" s="18"/>
      <c r="B58" s="27"/>
      <c r="C58" s="30"/>
      <c r="D58" s="29"/>
      <c r="E58" s="28"/>
      <c r="F58" s="38"/>
      <c r="G58" s="31"/>
      <c r="H58" s="18"/>
      <c r="I58" s="158"/>
      <c r="J58" s="158"/>
      <c r="K58" s="158"/>
      <c r="L58" s="158"/>
      <c r="M58" s="158"/>
      <c r="N58" s="158"/>
      <c r="O58" s="158"/>
      <c r="P58" s="158"/>
      <c r="Q58" s="158"/>
    </row>
    <row r="59" spans="1:17">
      <c r="A59" s="10"/>
      <c r="B59" s="137" t="s">
        <v>108</v>
      </c>
      <c r="C59" s="138" t="str">
        <f>IF(SUM(C54:C58)&gt;0,SUM(C54:C58),"")</f>
        <v/>
      </c>
      <c r="D59" s="139"/>
      <c r="E59" s="140"/>
      <c r="F59" s="141"/>
      <c r="G59" s="142" t="str">
        <f>IF(SUM(G54:G58)&gt;0,SUM(G54:G58),"")</f>
        <v/>
      </c>
      <c r="H59" s="10"/>
      <c r="I59" s="215"/>
      <c r="J59" s="215">
        <f>SUM(J54:J58)</f>
        <v>0</v>
      </c>
      <c r="K59" s="215">
        <f>SUM(K54:K58)</f>
        <v>0</v>
      </c>
      <c r="L59" s="211"/>
      <c r="M59" s="212"/>
      <c r="N59" s="215"/>
      <c r="O59" s="215">
        <f>SUM(O54:O58)</f>
        <v>0</v>
      </c>
      <c r="P59" s="215"/>
      <c r="Q59" s="215">
        <f>SUM(Q54:Q58)</f>
        <v>0</v>
      </c>
    </row>
    <row r="60" spans="1:17">
      <c r="A60" s="32"/>
      <c r="F60" s="41"/>
      <c r="G60" s="42"/>
      <c r="H60" s="32"/>
      <c r="I60" s="160"/>
      <c r="J60" s="160"/>
      <c r="K60" s="160"/>
    </row>
    <row r="61" spans="1:17">
      <c r="A61" s="16"/>
      <c r="B61" s="7" t="s">
        <v>56</v>
      </c>
      <c r="C61" s="7" t="s">
        <v>59</v>
      </c>
      <c r="D61" s="8" t="s">
        <v>134</v>
      </c>
      <c r="E61" s="7" t="s">
        <v>57</v>
      </c>
      <c r="F61" s="43" t="s">
        <v>60</v>
      </c>
      <c r="G61" s="37" t="s">
        <v>61</v>
      </c>
      <c r="H61" s="16"/>
      <c r="I61" s="182" t="s">
        <v>379</v>
      </c>
      <c r="J61" s="182" t="s">
        <v>381</v>
      </c>
      <c r="K61" s="182" t="s">
        <v>380</v>
      </c>
      <c r="L61" s="191" t="s">
        <v>382</v>
      </c>
      <c r="M61" s="191" t="s">
        <v>383</v>
      </c>
      <c r="N61" s="182" t="s">
        <v>391</v>
      </c>
      <c r="O61" s="182" t="s">
        <v>488</v>
      </c>
      <c r="P61" s="247" t="s">
        <v>441</v>
      </c>
      <c r="Q61" s="247" t="s">
        <v>489</v>
      </c>
    </row>
    <row r="62" spans="1:17">
      <c r="A62" s="18"/>
      <c r="B62" s="44" t="s">
        <v>334</v>
      </c>
      <c r="C62" s="54"/>
      <c r="D62" s="45" t="s">
        <v>136</v>
      </c>
      <c r="E62" s="20" t="s">
        <v>135</v>
      </c>
      <c r="F62" s="22">
        <v>1995</v>
      </c>
      <c r="G62" s="23" t="str">
        <f t="shared" ref="G62:G65" si="34">IF(C62&gt;0,+(C62*F62),"")</f>
        <v/>
      </c>
      <c r="H62" s="18"/>
      <c r="I62" s="189">
        <v>80</v>
      </c>
      <c r="J62" s="188">
        <f t="shared" ref="J62:J65" si="35">+C62*I62</f>
        <v>0</v>
      </c>
      <c r="K62" s="185">
        <f t="shared" ref="K62:K65" si="36">+C62/1</f>
        <v>0</v>
      </c>
      <c r="L62" s="244">
        <f>IF(G62="",0,IF((G62&lt;100),0,IF((ROUND((G62/100)-1,0)*0.9)&lt;2.7,2.7,ROUND((G62/100)-1,0)*0.9)))</f>
        <v>0</v>
      </c>
      <c r="M62" s="217">
        <f>+K62*9</f>
        <v>0</v>
      </c>
      <c r="N62" s="230">
        <f>14630/1728</f>
        <v>8.4664351851851851</v>
      </c>
      <c r="O62" s="232">
        <f>+C62*N62</f>
        <v>0</v>
      </c>
      <c r="P62" s="250">
        <f t="shared" ref="P62:P65" si="37">((+N62*1728)/166)</f>
        <v>88.132530120481931</v>
      </c>
      <c r="Q62" s="249">
        <f t="shared" ref="Q62:Q65" si="38">IF(P62&gt;I62,+P62*C62,+I62*C62)</f>
        <v>0</v>
      </c>
    </row>
    <row r="63" spans="1:17">
      <c r="A63" s="18"/>
      <c r="B63" s="44" t="s">
        <v>335</v>
      </c>
      <c r="C63" s="265"/>
      <c r="D63" s="45" t="s">
        <v>490</v>
      </c>
      <c r="E63" s="20" t="s">
        <v>135</v>
      </c>
      <c r="F63" s="22">
        <v>2195</v>
      </c>
      <c r="G63" s="23" t="str">
        <f t="shared" si="34"/>
        <v/>
      </c>
      <c r="H63" s="18"/>
      <c r="I63" s="189">
        <v>80</v>
      </c>
      <c r="J63" s="188">
        <f t="shared" si="35"/>
        <v>0</v>
      </c>
      <c r="K63" s="185">
        <f t="shared" si="36"/>
        <v>0</v>
      </c>
      <c r="L63" s="244">
        <f>IF(G63="",0,IF((G63&lt;100),0,IF((ROUND((G63/100)-1,0)*0.9)&lt;2.7,2.7,ROUND((G63/100)-1,0)*0.9)))</f>
        <v>0</v>
      </c>
      <c r="M63" s="217">
        <f>+K63*9</f>
        <v>0</v>
      </c>
      <c r="N63" s="230">
        <f t="shared" ref="N63:N64" si="39">14630/1728</f>
        <v>8.4664351851851851</v>
      </c>
      <c r="O63" s="232">
        <f t="shared" ref="O63:O65" si="40">+C63*N63</f>
        <v>0</v>
      </c>
      <c r="P63" s="250">
        <f t="shared" si="37"/>
        <v>88.132530120481931</v>
      </c>
      <c r="Q63" s="249">
        <f t="shared" si="38"/>
        <v>0</v>
      </c>
    </row>
    <row r="64" spans="1:17">
      <c r="A64" s="18"/>
      <c r="B64" s="44" t="s">
        <v>336</v>
      </c>
      <c r="C64" s="234"/>
      <c r="D64" s="45" t="s">
        <v>413</v>
      </c>
      <c r="E64" s="20" t="s">
        <v>135</v>
      </c>
      <c r="F64" s="22">
        <v>2195</v>
      </c>
      <c r="G64" s="23" t="str">
        <f t="shared" si="34"/>
        <v/>
      </c>
      <c r="H64" s="18"/>
      <c r="I64" s="189">
        <v>80</v>
      </c>
      <c r="J64" s="188">
        <f t="shared" si="35"/>
        <v>0</v>
      </c>
      <c r="K64" s="185">
        <f t="shared" si="36"/>
        <v>0</v>
      </c>
      <c r="L64" s="244">
        <f>IF(G64="",0,IF((G64&lt;100),0,IF((ROUND((G64/100)-1,0)*0.9)&lt;2.7,2.7,ROUND((G64/100)-1,0)*0.9)))</f>
        <v>0</v>
      </c>
      <c r="M64" s="217">
        <f>+K64*9</f>
        <v>0</v>
      </c>
      <c r="N64" s="230">
        <f t="shared" si="39"/>
        <v>8.4664351851851851</v>
      </c>
      <c r="O64" s="232">
        <f t="shared" si="40"/>
        <v>0</v>
      </c>
      <c r="P64" s="250">
        <f t="shared" si="37"/>
        <v>88.132530120481931</v>
      </c>
      <c r="Q64" s="249">
        <f t="shared" si="38"/>
        <v>0</v>
      </c>
    </row>
    <row r="65" spans="1:17">
      <c r="A65" s="18"/>
      <c r="B65" s="44" t="s">
        <v>365</v>
      </c>
      <c r="C65" s="234"/>
      <c r="D65" s="45" t="s">
        <v>414</v>
      </c>
      <c r="E65" s="20" t="s">
        <v>135</v>
      </c>
      <c r="F65" s="22">
        <v>1695</v>
      </c>
      <c r="G65" s="23" t="str">
        <f t="shared" si="34"/>
        <v/>
      </c>
      <c r="H65" s="18"/>
      <c r="I65" s="189">
        <v>61</v>
      </c>
      <c r="J65" s="188">
        <f t="shared" si="35"/>
        <v>0</v>
      </c>
      <c r="K65" s="185">
        <f t="shared" si="36"/>
        <v>0</v>
      </c>
      <c r="L65" s="244">
        <f>IF(G65="",0,IF((G65&lt;100),0,IF((ROUND((G65/100)-1,0)*0.9)&lt;2.7,2.7,ROUND((G65/100)-1,0)*0.9)))</f>
        <v>0</v>
      </c>
      <c r="M65" s="214"/>
      <c r="N65" s="230">
        <f>6552/1728</f>
        <v>3.7916666666666665</v>
      </c>
      <c r="O65" s="232">
        <f t="shared" si="40"/>
        <v>0</v>
      </c>
      <c r="P65" s="250">
        <f t="shared" si="37"/>
        <v>39.46987951807229</v>
      </c>
      <c r="Q65" s="249">
        <f t="shared" si="38"/>
        <v>0</v>
      </c>
    </row>
    <row r="66" spans="1:17" ht="3" customHeight="1">
      <c r="A66" s="18"/>
      <c r="B66" s="27"/>
      <c r="C66" s="30"/>
      <c r="D66" s="29"/>
      <c r="E66" s="28"/>
      <c r="F66" s="38"/>
      <c r="G66" s="31"/>
      <c r="H66" s="18"/>
      <c r="I66" s="158"/>
      <c r="J66" s="158"/>
      <c r="K66" s="158"/>
      <c r="L66" s="243"/>
      <c r="M66" s="158"/>
      <c r="N66" s="158"/>
      <c r="O66" s="158"/>
      <c r="P66" s="158"/>
      <c r="Q66" s="158"/>
    </row>
    <row r="67" spans="1:17">
      <c r="A67" s="10"/>
      <c r="B67" s="137" t="s">
        <v>108</v>
      </c>
      <c r="C67" s="138" t="str">
        <f>IF(SUM(C62:C66)&gt;0,SUM(C62:C66),"")</f>
        <v/>
      </c>
      <c r="D67" s="139"/>
      <c r="E67" s="140"/>
      <c r="F67" s="141"/>
      <c r="G67" s="142" t="str">
        <f>IF(SUM(G62:G66)&gt;0,SUM(G62:G66),"")</f>
        <v/>
      </c>
      <c r="H67" s="10"/>
      <c r="I67" s="215"/>
      <c r="J67" s="215">
        <f>SUM(J62:J66)</f>
        <v>0</v>
      </c>
      <c r="K67" s="215">
        <f>SUM(K62:K66)</f>
        <v>0</v>
      </c>
      <c r="L67" s="211"/>
      <c r="M67" s="212"/>
      <c r="N67" s="215"/>
      <c r="O67" s="215">
        <f>SUM(O62:O66)</f>
        <v>0</v>
      </c>
      <c r="P67" s="215"/>
      <c r="Q67" s="215">
        <f>SUM(Q62:Q66)</f>
        <v>0</v>
      </c>
    </row>
    <row r="68" spans="1:17">
      <c r="A68" s="32"/>
      <c r="F68" s="41"/>
      <c r="G68" s="42"/>
      <c r="H68" s="32"/>
      <c r="I68" s="160"/>
      <c r="J68" s="160"/>
      <c r="K68" s="160"/>
    </row>
    <row r="69" spans="1:17">
      <c r="A69" s="16"/>
      <c r="B69" s="7" t="s">
        <v>56</v>
      </c>
      <c r="C69" s="7" t="s">
        <v>59</v>
      </c>
      <c r="D69" s="8" t="s">
        <v>137</v>
      </c>
      <c r="E69" s="7" t="s">
        <v>57</v>
      </c>
      <c r="F69" s="43" t="s">
        <v>60</v>
      </c>
      <c r="G69" s="37" t="s">
        <v>61</v>
      </c>
      <c r="H69" s="16"/>
      <c r="I69" s="182" t="s">
        <v>379</v>
      </c>
      <c r="J69" s="182" t="s">
        <v>381</v>
      </c>
      <c r="K69" s="182" t="s">
        <v>380</v>
      </c>
      <c r="L69" s="191" t="s">
        <v>382</v>
      </c>
      <c r="M69" s="191" t="s">
        <v>383</v>
      </c>
      <c r="N69" s="182" t="s">
        <v>391</v>
      </c>
      <c r="O69" s="182" t="s">
        <v>488</v>
      </c>
      <c r="P69" s="247" t="s">
        <v>441</v>
      </c>
      <c r="Q69" s="247" t="s">
        <v>489</v>
      </c>
    </row>
    <row r="70" spans="1:17">
      <c r="A70" s="18"/>
      <c r="B70" s="44" t="s">
        <v>138</v>
      </c>
      <c r="C70" s="54"/>
      <c r="D70" s="45" t="s">
        <v>329</v>
      </c>
      <c r="E70" s="20" t="s">
        <v>135</v>
      </c>
      <c r="F70" s="22">
        <v>35</v>
      </c>
      <c r="G70" s="23" t="str">
        <f t="shared" ref="G70:G72" si="41">IF(C70&gt;0,+(C70*F70),"")</f>
        <v/>
      </c>
      <c r="H70" s="18"/>
      <c r="I70" s="189">
        <v>0.2</v>
      </c>
      <c r="J70" s="188">
        <f t="shared" ref="J70:J72" si="42">+C70*I70</f>
        <v>0</v>
      </c>
      <c r="K70" s="196">
        <f t="shared" ref="K70:K72" si="43">+C70*N70</f>
        <v>0</v>
      </c>
      <c r="L70" s="214"/>
      <c r="M70" s="214"/>
      <c r="N70" s="230">
        <f>10/1728</f>
        <v>5.7870370370370367E-3</v>
      </c>
      <c r="O70" s="232">
        <f t="shared" ref="O70" si="44">+C70*N70</f>
        <v>0</v>
      </c>
      <c r="P70" s="250">
        <f t="shared" ref="P70:P72" si="45">((+N70*1728)/166)</f>
        <v>6.0240963855421686E-2</v>
      </c>
      <c r="Q70" s="249">
        <f t="shared" ref="Q70:Q72" si="46">IF(P70&gt;I70,+P70*C70,+I70*C70)</f>
        <v>0</v>
      </c>
    </row>
    <row r="71" spans="1:17">
      <c r="A71" s="18"/>
      <c r="B71" s="44" t="s">
        <v>505</v>
      </c>
      <c r="C71" s="234"/>
      <c r="D71" s="45" t="s">
        <v>506</v>
      </c>
      <c r="E71" s="20" t="s">
        <v>135</v>
      </c>
      <c r="F71" s="22">
        <v>45</v>
      </c>
      <c r="G71" s="23" t="str">
        <f t="shared" si="41"/>
        <v/>
      </c>
      <c r="H71" s="18"/>
      <c r="I71" s="189">
        <v>1</v>
      </c>
      <c r="J71" s="188">
        <f t="shared" si="42"/>
        <v>0</v>
      </c>
      <c r="K71" s="196">
        <f t="shared" si="43"/>
        <v>0</v>
      </c>
      <c r="L71" s="214"/>
      <c r="M71" s="214"/>
      <c r="N71" s="230">
        <f>96/1728</f>
        <v>5.5555555555555552E-2</v>
      </c>
      <c r="O71" s="232">
        <f t="shared" ref="O71" si="47">+C71*N71</f>
        <v>0</v>
      </c>
      <c r="P71" s="250">
        <f t="shared" si="45"/>
        <v>0.57831325301204817</v>
      </c>
      <c r="Q71" s="249">
        <f t="shared" si="46"/>
        <v>0</v>
      </c>
    </row>
    <row r="72" spans="1:17">
      <c r="A72" s="18"/>
      <c r="B72" s="44" t="s">
        <v>139</v>
      </c>
      <c r="C72" s="54"/>
      <c r="D72" s="45" t="s">
        <v>140</v>
      </c>
      <c r="E72" s="20" t="s">
        <v>135</v>
      </c>
      <c r="F72" s="22">
        <v>3.5</v>
      </c>
      <c r="G72" s="23" t="str">
        <f t="shared" si="41"/>
        <v/>
      </c>
      <c r="H72" s="18"/>
      <c r="I72" s="189">
        <v>0.15</v>
      </c>
      <c r="J72" s="188">
        <f t="shared" si="42"/>
        <v>0</v>
      </c>
      <c r="K72" s="196">
        <f t="shared" si="43"/>
        <v>0</v>
      </c>
      <c r="L72" s="214"/>
      <c r="M72" s="214"/>
      <c r="N72" s="230">
        <f>8/1728</f>
        <v>4.6296296296296294E-3</v>
      </c>
      <c r="O72" s="232">
        <f t="shared" ref="O72" si="48">+C72*N72</f>
        <v>0</v>
      </c>
      <c r="P72" s="250">
        <f t="shared" si="45"/>
        <v>4.8192771084337352E-2</v>
      </c>
      <c r="Q72" s="249">
        <f t="shared" si="46"/>
        <v>0</v>
      </c>
    </row>
    <row r="73" spans="1:17" ht="3" customHeight="1">
      <c r="A73" s="18"/>
      <c r="B73" s="27"/>
      <c r="C73" s="30"/>
      <c r="D73" s="29"/>
      <c r="E73" s="28"/>
      <c r="F73" s="38"/>
      <c r="G73" s="31"/>
      <c r="H73" s="18"/>
      <c r="I73" s="158"/>
      <c r="J73" s="158"/>
      <c r="K73" s="158"/>
      <c r="L73" s="158"/>
      <c r="M73" s="158"/>
      <c r="N73" s="158"/>
      <c r="O73" s="158"/>
      <c r="P73" s="158"/>
      <c r="Q73" s="158"/>
    </row>
    <row r="74" spans="1:17">
      <c r="A74" s="10"/>
      <c r="B74" s="137" t="s">
        <v>108</v>
      </c>
      <c r="C74" s="138" t="str">
        <f>IF(SUM(C70:C73)&gt;0,SUM(C70:C73),"")</f>
        <v/>
      </c>
      <c r="D74" s="139"/>
      <c r="E74" s="140"/>
      <c r="F74" s="141"/>
      <c r="G74" s="142" t="str">
        <f>IF(SUM(G70:G73)&gt;0,SUM(G70:G73),"")</f>
        <v/>
      </c>
      <c r="H74" s="10"/>
      <c r="I74" s="215"/>
      <c r="J74" s="215">
        <f>SUM(J70:J73)</f>
        <v>0</v>
      </c>
      <c r="K74" s="215">
        <f>SUM(K70:K73)</f>
        <v>0</v>
      </c>
      <c r="L74" s="215">
        <f>IF(G74="",0,IF(G74&lt;100,0,(ROUND((+G74-50)/100,0))*0.8))</f>
        <v>0</v>
      </c>
      <c r="M74" s="216"/>
      <c r="N74" s="215"/>
      <c r="O74" s="215">
        <f>SUM(O70:O73)</f>
        <v>0</v>
      </c>
      <c r="P74" s="215"/>
      <c r="Q74" s="215">
        <f>SUM(Q70:Q73)</f>
        <v>0</v>
      </c>
    </row>
    <row r="75" spans="1:17">
      <c r="A75" s="32"/>
      <c r="C75" s="35"/>
      <c r="D75" s="5"/>
      <c r="F75" s="46"/>
      <c r="G75" s="36"/>
      <c r="H75" s="32"/>
      <c r="I75" s="160"/>
      <c r="J75" s="160"/>
      <c r="K75" s="160"/>
    </row>
    <row r="76" spans="1:17">
      <c r="A76" s="16"/>
      <c r="B76" s="7" t="s">
        <v>56</v>
      </c>
      <c r="C76" s="7" t="s">
        <v>59</v>
      </c>
      <c r="D76" s="8" t="s">
        <v>141</v>
      </c>
      <c r="E76" s="7" t="s">
        <v>57</v>
      </c>
      <c r="F76" s="43" t="s">
        <v>60</v>
      </c>
      <c r="G76" s="37" t="s">
        <v>61</v>
      </c>
      <c r="H76" s="16"/>
      <c r="I76" s="182" t="s">
        <v>379</v>
      </c>
      <c r="J76" s="182" t="s">
        <v>381</v>
      </c>
      <c r="K76" s="182" t="s">
        <v>380</v>
      </c>
      <c r="L76" s="191" t="s">
        <v>382</v>
      </c>
      <c r="M76" s="191" t="s">
        <v>383</v>
      </c>
      <c r="N76" s="182" t="s">
        <v>391</v>
      </c>
      <c r="O76" s="182" t="s">
        <v>488</v>
      </c>
      <c r="P76" s="247" t="s">
        <v>441</v>
      </c>
      <c r="Q76" s="247" t="s">
        <v>489</v>
      </c>
    </row>
    <row r="77" spans="1:17">
      <c r="A77" s="18"/>
      <c r="B77" s="44" t="s">
        <v>610</v>
      </c>
      <c r="C77" s="234"/>
      <c r="D77" s="45" t="s">
        <v>611</v>
      </c>
      <c r="E77" s="20" t="s">
        <v>142</v>
      </c>
      <c r="F77" s="22">
        <v>24</v>
      </c>
      <c r="G77" s="23" t="str">
        <f t="shared" ref="G77:G85" si="49">IF(C77&gt;0,+(C77*F77),"")</f>
        <v/>
      </c>
      <c r="H77" s="18"/>
      <c r="I77" s="189">
        <v>3</v>
      </c>
      <c r="J77" s="188">
        <f t="shared" ref="J77:J85" si="50">+C77*I77</f>
        <v>0</v>
      </c>
      <c r="K77" s="185">
        <f t="shared" ref="K77:K85" si="51">+C77/1</f>
        <v>0</v>
      </c>
      <c r="L77" s="214"/>
      <c r="M77" s="214"/>
      <c r="N77" s="230">
        <f>1560/1728</f>
        <v>0.90277777777777779</v>
      </c>
      <c r="O77" s="232">
        <f t="shared" ref="O77:O85" si="52">+C77*N77</f>
        <v>0</v>
      </c>
      <c r="P77" s="250">
        <f t="shared" ref="P77:P87" si="53">((+N77*1728)/166)</f>
        <v>9.3975903614457827</v>
      </c>
      <c r="Q77" s="249">
        <f t="shared" ref="Q77:Q87" si="54">IF(P77&gt;I77,+P77*C77,+I77*C77)</f>
        <v>0</v>
      </c>
    </row>
    <row r="78" spans="1:17">
      <c r="A78" s="18"/>
      <c r="B78" s="44" t="s">
        <v>337</v>
      </c>
      <c r="C78" s="54"/>
      <c r="D78" s="45" t="s">
        <v>143</v>
      </c>
      <c r="E78" s="20" t="s">
        <v>142</v>
      </c>
      <c r="F78" s="22">
        <v>3</v>
      </c>
      <c r="G78" s="23" t="str">
        <f t="shared" si="49"/>
        <v/>
      </c>
      <c r="H78" s="18"/>
      <c r="I78" s="189">
        <v>0.1</v>
      </c>
      <c r="J78" s="188">
        <f t="shared" si="50"/>
        <v>0</v>
      </c>
      <c r="K78" s="196">
        <f t="shared" ref="K78" si="55">+C78*N78</f>
        <v>0</v>
      </c>
      <c r="L78" s="214"/>
      <c r="M78" s="214"/>
      <c r="N78" s="230">
        <f>16/1728</f>
        <v>9.2592592592592587E-3</v>
      </c>
      <c r="O78" s="232">
        <f t="shared" si="52"/>
        <v>0</v>
      </c>
      <c r="P78" s="250">
        <f t="shared" si="53"/>
        <v>9.6385542168674704E-2</v>
      </c>
      <c r="Q78" s="249">
        <f t="shared" si="54"/>
        <v>0</v>
      </c>
    </row>
    <row r="79" spans="1:17">
      <c r="A79" s="18"/>
      <c r="B79" s="44" t="s">
        <v>338</v>
      </c>
      <c r="C79" s="54"/>
      <c r="D79" s="45" t="s">
        <v>144</v>
      </c>
      <c r="E79" s="20" t="s">
        <v>142</v>
      </c>
      <c r="F79" s="22">
        <v>6</v>
      </c>
      <c r="G79" s="23" t="str">
        <f t="shared" si="49"/>
        <v/>
      </c>
      <c r="H79" s="18"/>
      <c r="I79" s="189">
        <v>0.15</v>
      </c>
      <c r="J79" s="188">
        <f t="shared" si="50"/>
        <v>0</v>
      </c>
      <c r="K79" s="196">
        <f t="shared" ref="K79:K80" si="56">+C79*N79</f>
        <v>0</v>
      </c>
      <c r="L79" s="214"/>
      <c r="M79" s="214"/>
      <c r="N79" s="230">
        <f>48/1728</f>
        <v>2.7777777777777776E-2</v>
      </c>
      <c r="O79" s="232">
        <f t="shared" si="52"/>
        <v>0</v>
      </c>
      <c r="P79" s="250">
        <f t="shared" si="53"/>
        <v>0.28915662650602408</v>
      </c>
      <c r="Q79" s="249">
        <f t="shared" si="54"/>
        <v>0</v>
      </c>
    </row>
    <row r="80" spans="1:17">
      <c r="A80" s="18"/>
      <c r="B80" s="44" t="s">
        <v>339</v>
      </c>
      <c r="C80" s="54"/>
      <c r="D80" s="45" t="s">
        <v>145</v>
      </c>
      <c r="E80" s="20" t="s">
        <v>142</v>
      </c>
      <c r="F80" s="22">
        <v>3</v>
      </c>
      <c r="G80" s="23" t="str">
        <f t="shared" si="49"/>
        <v/>
      </c>
      <c r="H80" s="18"/>
      <c r="I80" s="189">
        <v>0.08</v>
      </c>
      <c r="J80" s="188">
        <f t="shared" si="50"/>
        <v>0</v>
      </c>
      <c r="K80" s="196">
        <f t="shared" si="56"/>
        <v>0</v>
      </c>
      <c r="L80" s="214"/>
      <c r="M80" s="214"/>
      <c r="N80" s="230">
        <f>15/1728</f>
        <v>8.6805555555555559E-3</v>
      </c>
      <c r="O80" s="232">
        <f t="shared" si="52"/>
        <v>0</v>
      </c>
      <c r="P80" s="250">
        <f t="shared" si="53"/>
        <v>9.036144578313253E-2</v>
      </c>
      <c r="Q80" s="249">
        <f t="shared" si="54"/>
        <v>0</v>
      </c>
    </row>
    <row r="81" spans="1:17">
      <c r="A81" s="18"/>
      <c r="B81" s="44" t="s">
        <v>340</v>
      </c>
      <c r="C81" s="54"/>
      <c r="D81" s="45" t="s">
        <v>146</v>
      </c>
      <c r="E81" s="20" t="s">
        <v>135</v>
      </c>
      <c r="F81" s="22">
        <v>120</v>
      </c>
      <c r="G81" s="23" t="str">
        <f t="shared" si="49"/>
        <v/>
      </c>
      <c r="H81" s="18"/>
      <c r="I81" s="189">
        <v>6</v>
      </c>
      <c r="J81" s="188">
        <f t="shared" si="50"/>
        <v>0</v>
      </c>
      <c r="K81" s="185">
        <f t="shared" si="51"/>
        <v>0</v>
      </c>
      <c r="L81" s="214"/>
      <c r="M81" s="214"/>
      <c r="N81" s="230">
        <f>756/1728</f>
        <v>0.4375</v>
      </c>
      <c r="O81" s="232">
        <f t="shared" si="52"/>
        <v>0</v>
      </c>
      <c r="P81" s="250">
        <f t="shared" si="53"/>
        <v>4.5542168674698793</v>
      </c>
      <c r="Q81" s="249">
        <f t="shared" si="54"/>
        <v>0</v>
      </c>
    </row>
    <row r="82" spans="1:17">
      <c r="A82" s="18"/>
      <c r="B82" s="44" t="s">
        <v>344</v>
      </c>
      <c r="C82" s="234"/>
      <c r="D82" s="45" t="s">
        <v>374</v>
      </c>
      <c r="E82" s="20" t="s">
        <v>135</v>
      </c>
      <c r="F82" s="22">
        <v>24</v>
      </c>
      <c r="G82" s="23" t="str">
        <f t="shared" ref="G82:G83" si="57">IF(C82&gt;0,+(C82*F82),"")</f>
        <v/>
      </c>
      <c r="H82" s="18"/>
      <c r="I82" s="189">
        <v>5.5</v>
      </c>
      <c r="J82" s="188">
        <f t="shared" ref="J82:J83" si="58">+C82*I82</f>
        <v>0</v>
      </c>
      <c r="K82" s="185">
        <f t="shared" si="51"/>
        <v>0</v>
      </c>
      <c r="L82" s="214"/>
      <c r="M82" s="214"/>
      <c r="N82" s="230">
        <f>2912/1728</f>
        <v>1.6851851851851851</v>
      </c>
      <c r="O82" s="232">
        <f t="shared" ref="O82:O83" si="59">+C82*N82</f>
        <v>0</v>
      </c>
      <c r="P82" s="250">
        <f t="shared" si="53"/>
        <v>17.542168674698797</v>
      </c>
      <c r="Q82" s="249">
        <f t="shared" si="54"/>
        <v>0</v>
      </c>
    </row>
    <row r="83" spans="1:17">
      <c r="A83" s="18"/>
      <c r="B83" s="44" t="s">
        <v>345</v>
      </c>
      <c r="C83" s="234"/>
      <c r="D83" s="45" t="s">
        <v>375</v>
      </c>
      <c r="E83" s="20" t="s">
        <v>135</v>
      </c>
      <c r="F83" s="22">
        <v>45</v>
      </c>
      <c r="G83" s="23" t="str">
        <f t="shared" si="57"/>
        <v/>
      </c>
      <c r="H83" s="18"/>
      <c r="I83" s="189">
        <v>6</v>
      </c>
      <c r="J83" s="188">
        <f t="shared" si="58"/>
        <v>0</v>
      </c>
      <c r="K83" s="185">
        <f t="shared" si="51"/>
        <v>0</v>
      </c>
      <c r="L83" s="214"/>
      <c r="M83" s="214"/>
      <c r="N83" s="230">
        <f>2720/1728</f>
        <v>1.5740740740740742</v>
      </c>
      <c r="O83" s="232">
        <f t="shared" si="59"/>
        <v>0</v>
      </c>
      <c r="P83" s="250">
        <f t="shared" si="53"/>
        <v>16.3855421686747</v>
      </c>
      <c r="Q83" s="249">
        <f t="shared" si="54"/>
        <v>0</v>
      </c>
    </row>
    <row r="84" spans="1:17">
      <c r="A84" s="18"/>
      <c r="B84" s="44" t="s">
        <v>341</v>
      </c>
      <c r="C84" s="54"/>
      <c r="D84" s="45" t="s">
        <v>147</v>
      </c>
      <c r="E84" s="20" t="s">
        <v>133</v>
      </c>
      <c r="F84" s="22">
        <v>15</v>
      </c>
      <c r="G84" s="23" t="str">
        <f t="shared" si="49"/>
        <v/>
      </c>
      <c r="H84" s="18"/>
      <c r="I84" s="189">
        <v>3</v>
      </c>
      <c r="J84" s="188">
        <f t="shared" si="50"/>
        <v>0</v>
      </c>
      <c r="K84" s="185">
        <f t="shared" si="51"/>
        <v>0</v>
      </c>
      <c r="L84" s="214"/>
      <c r="M84" s="214"/>
      <c r="N84" s="230">
        <f>1452/1728</f>
        <v>0.84027777777777779</v>
      </c>
      <c r="O84" s="232">
        <f t="shared" si="52"/>
        <v>0</v>
      </c>
      <c r="P84" s="250">
        <f t="shared" si="53"/>
        <v>8.7469879518072293</v>
      </c>
      <c r="Q84" s="249">
        <f t="shared" si="54"/>
        <v>0</v>
      </c>
    </row>
    <row r="85" spans="1:17">
      <c r="A85" s="18"/>
      <c r="B85" s="44" t="s">
        <v>342</v>
      </c>
      <c r="C85" s="54"/>
      <c r="D85" s="45" t="s">
        <v>148</v>
      </c>
      <c r="E85" s="20" t="s">
        <v>133</v>
      </c>
      <c r="F85" s="22">
        <v>40</v>
      </c>
      <c r="G85" s="23" t="str">
        <f t="shared" si="49"/>
        <v/>
      </c>
      <c r="H85" s="18"/>
      <c r="I85" s="189">
        <v>8</v>
      </c>
      <c r="J85" s="188">
        <f t="shared" si="50"/>
        <v>0</v>
      </c>
      <c r="K85" s="185">
        <f t="shared" si="51"/>
        <v>0</v>
      </c>
      <c r="L85" s="214"/>
      <c r="M85" s="214"/>
      <c r="N85" s="230">
        <f>2106/1728</f>
        <v>1.21875</v>
      </c>
      <c r="O85" s="232">
        <f t="shared" si="52"/>
        <v>0</v>
      </c>
      <c r="P85" s="250">
        <f t="shared" si="53"/>
        <v>12.686746987951807</v>
      </c>
      <c r="Q85" s="249">
        <f t="shared" si="54"/>
        <v>0</v>
      </c>
    </row>
    <row r="86" spans="1:17">
      <c r="A86" s="18"/>
      <c r="B86" s="44" t="s">
        <v>343</v>
      </c>
      <c r="C86" s="234"/>
      <c r="D86" s="45" t="s">
        <v>149</v>
      </c>
      <c r="E86" s="20" t="s">
        <v>135</v>
      </c>
      <c r="F86" s="22">
        <v>12</v>
      </c>
      <c r="G86" s="23" t="str">
        <f t="shared" ref="G86" si="60">IF(C86&gt;0,+(C86*F86),"")</f>
        <v/>
      </c>
      <c r="H86" s="18"/>
      <c r="I86" s="189">
        <v>0.4</v>
      </c>
      <c r="J86" s="188">
        <f t="shared" ref="J86" si="61">+C86*I86</f>
        <v>0</v>
      </c>
      <c r="K86" s="196">
        <f t="shared" ref="K86:K87" si="62">+C86*N86</f>
        <v>0</v>
      </c>
      <c r="L86" s="214"/>
      <c r="M86" s="214"/>
      <c r="N86" s="230">
        <f>27/1728</f>
        <v>1.5625E-2</v>
      </c>
      <c r="O86" s="232">
        <f t="shared" ref="O86" si="63">+C86*N86</f>
        <v>0</v>
      </c>
      <c r="P86" s="250">
        <f t="shared" si="53"/>
        <v>0.16265060240963855</v>
      </c>
      <c r="Q86" s="249">
        <f t="shared" si="54"/>
        <v>0</v>
      </c>
    </row>
    <row r="87" spans="1:17">
      <c r="A87" s="18"/>
      <c r="B87" s="44" t="s">
        <v>436</v>
      </c>
      <c r="C87" s="234"/>
      <c r="D87" s="45" t="s">
        <v>437</v>
      </c>
      <c r="E87" s="20" t="s">
        <v>135</v>
      </c>
      <c r="F87" s="22">
        <v>3</v>
      </c>
      <c r="G87" s="23" t="str">
        <f>IF(C87&gt;0,+(C87*F87),"")</f>
        <v/>
      </c>
      <c r="H87" s="18"/>
      <c r="I87" s="189">
        <v>0.5</v>
      </c>
      <c r="J87" s="188">
        <f>+C87*I87</f>
        <v>0</v>
      </c>
      <c r="K87" s="196">
        <f t="shared" si="62"/>
        <v>0</v>
      </c>
      <c r="L87" s="214"/>
      <c r="M87" s="214"/>
      <c r="N87" s="230">
        <f>176/1728</f>
        <v>0.10185185185185185</v>
      </c>
      <c r="O87" s="232">
        <f>+C87*N87</f>
        <v>0</v>
      </c>
      <c r="P87" s="250">
        <f t="shared" si="53"/>
        <v>1.0602409638554218</v>
      </c>
      <c r="Q87" s="249">
        <f t="shared" si="54"/>
        <v>0</v>
      </c>
    </row>
    <row r="88" spans="1:17">
      <c r="A88" s="18"/>
      <c r="B88" s="44" t="s">
        <v>346</v>
      </c>
      <c r="C88" s="234"/>
      <c r="D88" s="45" t="s">
        <v>376</v>
      </c>
      <c r="E88" s="20" t="s">
        <v>135</v>
      </c>
      <c r="F88" s="22">
        <v>4</v>
      </c>
      <c r="G88" s="23" t="str">
        <f t="shared" ref="G88" si="64">IF(C88&gt;0,+(C88*F88),"")</f>
        <v/>
      </c>
      <c r="H88" s="18"/>
      <c r="I88" s="189">
        <v>0.1</v>
      </c>
      <c r="J88" s="188">
        <f t="shared" ref="J88" si="65">+C88*I88</f>
        <v>0</v>
      </c>
      <c r="K88" s="196">
        <f t="shared" ref="K88" si="66">+C88*N88</f>
        <v>0</v>
      </c>
      <c r="L88" s="214"/>
      <c r="M88" s="214"/>
      <c r="N88" s="230">
        <f>3/1728</f>
        <v>1.736111111111111E-3</v>
      </c>
      <c r="O88" s="232">
        <f t="shared" ref="O88" si="67">+C88*N88</f>
        <v>0</v>
      </c>
      <c r="P88" s="250">
        <f t="shared" ref="P88" si="68">((+N88*1728)/166)</f>
        <v>1.8072289156626505E-2</v>
      </c>
      <c r="Q88" s="249">
        <f t="shared" ref="Q88" si="69">IF(P88&gt;I88,+P88*C88,+I88*C88)</f>
        <v>0</v>
      </c>
    </row>
    <row r="89" spans="1:17" ht="3" customHeight="1">
      <c r="A89" s="18"/>
      <c r="B89" s="27"/>
      <c r="C89" s="30"/>
      <c r="D89" s="29"/>
      <c r="E89" s="28"/>
      <c r="F89" s="38"/>
      <c r="G89" s="31"/>
      <c r="H89" s="18"/>
      <c r="I89" s="158"/>
      <c r="J89" s="158"/>
      <c r="K89" s="158"/>
      <c r="L89" s="158"/>
      <c r="M89" s="158"/>
      <c r="N89" s="158"/>
      <c r="O89" s="158"/>
      <c r="P89" s="158"/>
      <c r="Q89" s="158"/>
    </row>
    <row r="90" spans="1:17">
      <c r="A90" s="10"/>
      <c r="B90" s="137" t="s">
        <v>108</v>
      </c>
      <c r="C90" s="138" t="str">
        <f>IF(SUM(C77:C89)&gt;0,SUM(C77:C89),"")</f>
        <v/>
      </c>
      <c r="D90" s="139"/>
      <c r="E90" s="140"/>
      <c r="F90" s="141"/>
      <c r="G90" s="142" t="str">
        <f>IF(SUM(G77:G89)&gt;0,SUM(G77:G89),"")</f>
        <v/>
      </c>
      <c r="H90" s="10"/>
      <c r="I90" s="215"/>
      <c r="J90" s="215">
        <f>SUM(J77:J89)</f>
        <v>0</v>
      </c>
      <c r="K90" s="215">
        <f>SUM(K77:K89)</f>
        <v>0</v>
      </c>
      <c r="L90" s="211"/>
      <c r="M90" s="212"/>
      <c r="N90" s="215"/>
      <c r="O90" s="215">
        <f>SUM(O77:O89)</f>
        <v>0</v>
      </c>
      <c r="P90" s="215"/>
      <c r="Q90" s="215">
        <f>SUM(Q77:Q89)</f>
        <v>0</v>
      </c>
    </row>
    <row r="91" spans="1:17">
      <c r="A91" s="47"/>
      <c r="B91" s="48"/>
      <c r="C91" s="48"/>
      <c r="D91" s="14"/>
      <c r="E91" s="48"/>
      <c r="F91" s="46"/>
      <c r="G91" s="36"/>
      <c r="H91" s="47"/>
      <c r="I91" s="160"/>
      <c r="J91" s="160"/>
      <c r="K91" s="160"/>
    </row>
    <row r="92" spans="1:17">
      <c r="A92" s="16"/>
      <c r="B92" s="7" t="s">
        <v>56</v>
      </c>
      <c r="C92" s="7" t="s">
        <v>59</v>
      </c>
      <c r="D92" s="8" t="s">
        <v>150</v>
      </c>
      <c r="E92" s="7" t="s">
        <v>57</v>
      </c>
      <c r="F92" s="43" t="s">
        <v>60</v>
      </c>
      <c r="G92" s="37" t="s">
        <v>61</v>
      </c>
      <c r="H92" s="16"/>
      <c r="I92" s="182" t="s">
        <v>379</v>
      </c>
      <c r="J92" s="182" t="s">
        <v>381</v>
      </c>
      <c r="K92" s="182" t="s">
        <v>380</v>
      </c>
      <c r="L92" s="191" t="s">
        <v>382</v>
      </c>
      <c r="M92" s="191" t="s">
        <v>383</v>
      </c>
      <c r="N92" s="182" t="s">
        <v>391</v>
      </c>
      <c r="O92" s="182" t="s">
        <v>488</v>
      </c>
      <c r="P92" s="247" t="s">
        <v>441</v>
      </c>
      <c r="Q92" s="247" t="s">
        <v>489</v>
      </c>
    </row>
    <row r="93" spans="1:17">
      <c r="A93" s="18"/>
      <c r="B93" s="44" t="s">
        <v>470</v>
      </c>
      <c r="C93" s="234"/>
      <c r="D93" s="45" t="s">
        <v>473</v>
      </c>
      <c r="E93" s="49" t="s">
        <v>133</v>
      </c>
      <c r="F93" s="22">
        <v>45</v>
      </c>
      <c r="G93" s="23" t="str">
        <f t="shared" ref="G93" si="70">IF(C93&gt;0,+(C93*F93),"")</f>
        <v/>
      </c>
      <c r="H93" s="18"/>
      <c r="I93" s="189">
        <v>7</v>
      </c>
      <c r="J93" s="188">
        <f t="shared" ref="J93" si="71">+C93*I93</f>
        <v>0</v>
      </c>
      <c r="K93" s="185">
        <f t="shared" ref="K93" si="72">+C93/1</f>
        <v>0</v>
      </c>
      <c r="L93" s="214"/>
      <c r="M93" s="214"/>
      <c r="N93" s="230">
        <f>6480/1728</f>
        <v>3.75</v>
      </c>
      <c r="O93" s="232">
        <f t="shared" ref="O93" si="73">+C93*N93</f>
        <v>0</v>
      </c>
      <c r="P93" s="250">
        <f t="shared" ref="P93:P105" si="74">((+N93*1728)/166)</f>
        <v>39.036144578313255</v>
      </c>
      <c r="Q93" s="249">
        <f t="shared" ref="Q93:Q105" si="75">IF(P93&gt;I93,+P93*C93,+I93*C93)</f>
        <v>0</v>
      </c>
    </row>
    <row r="94" spans="1:17">
      <c r="A94" s="18"/>
      <c r="B94" s="44" t="s">
        <v>471</v>
      </c>
      <c r="C94" s="234"/>
      <c r="D94" s="45" t="s">
        <v>474</v>
      </c>
      <c r="E94" s="49" t="s">
        <v>133</v>
      </c>
      <c r="F94" s="22">
        <v>55</v>
      </c>
      <c r="G94" s="23" t="str">
        <f t="shared" ref="G94:G105" si="76">IF(C94&gt;0,+(C94*F94),"")</f>
        <v/>
      </c>
      <c r="H94" s="18"/>
      <c r="I94" s="189">
        <v>10</v>
      </c>
      <c r="J94" s="188">
        <f t="shared" ref="J94:J105" si="77">+C94*I94</f>
        <v>0</v>
      </c>
      <c r="K94" s="185">
        <f t="shared" ref="K94:K103" si="78">+C94/1</f>
        <v>0</v>
      </c>
      <c r="L94" s="214"/>
      <c r="M94" s="214"/>
      <c r="N94" s="230">
        <f>8645/1728</f>
        <v>5.0028935185185182</v>
      </c>
      <c r="O94" s="232">
        <f t="shared" ref="O94:O105" si="79">+C94*N94</f>
        <v>0</v>
      </c>
      <c r="P94" s="250">
        <f t="shared" si="74"/>
        <v>52.078313253012048</v>
      </c>
      <c r="Q94" s="249">
        <f t="shared" si="75"/>
        <v>0</v>
      </c>
    </row>
    <row r="95" spans="1:17">
      <c r="A95" s="18"/>
      <c r="B95" s="44" t="s">
        <v>472</v>
      </c>
      <c r="C95" s="234"/>
      <c r="D95" s="45" t="s">
        <v>475</v>
      </c>
      <c r="E95" s="49" t="s">
        <v>133</v>
      </c>
      <c r="F95" s="22">
        <v>75</v>
      </c>
      <c r="G95" s="23" t="str">
        <f t="shared" si="76"/>
        <v/>
      </c>
      <c r="H95" s="18"/>
      <c r="I95" s="189">
        <v>14</v>
      </c>
      <c r="J95" s="188">
        <f t="shared" si="77"/>
        <v>0</v>
      </c>
      <c r="K95" s="185">
        <f t="shared" si="78"/>
        <v>0</v>
      </c>
      <c r="L95" s="214"/>
      <c r="M95" s="214"/>
      <c r="N95" s="230">
        <f>15232/1728</f>
        <v>8.8148148148148149</v>
      </c>
      <c r="O95" s="232">
        <f t="shared" si="79"/>
        <v>0</v>
      </c>
      <c r="P95" s="250">
        <f t="shared" si="74"/>
        <v>91.759036144578317</v>
      </c>
      <c r="Q95" s="249">
        <f t="shared" si="75"/>
        <v>0</v>
      </c>
    </row>
    <row r="96" spans="1:17">
      <c r="A96" s="18"/>
      <c r="B96" s="44" t="s">
        <v>410</v>
      </c>
      <c r="C96" s="234"/>
      <c r="D96" s="45" t="s">
        <v>422</v>
      </c>
      <c r="E96" s="49" t="s">
        <v>133</v>
      </c>
      <c r="F96" s="22">
        <v>150</v>
      </c>
      <c r="G96" s="23" t="str">
        <f t="shared" ref="G96:G102" si="80">IF(C96&gt;0,+(C96*F96),"")</f>
        <v/>
      </c>
      <c r="H96" s="18"/>
      <c r="I96" s="189">
        <v>38</v>
      </c>
      <c r="J96" s="188">
        <f t="shared" ref="J96:J102" si="81">+C96*I96</f>
        <v>0</v>
      </c>
      <c r="K96" s="185">
        <f t="shared" ref="K96:K100" si="82">+C96/1</f>
        <v>0</v>
      </c>
      <c r="L96" s="214"/>
      <c r="M96" s="214"/>
      <c r="N96" s="230">
        <f>8500/1728</f>
        <v>4.9189814814814818</v>
      </c>
      <c r="O96" s="232">
        <f t="shared" ref="O96:O100" si="83">+C96*N96</f>
        <v>0</v>
      </c>
      <c r="P96" s="250">
        <f t="shared" si="74"/>
        <v>51.204819277108435</v>
      </c>
      <c r="Q96" s="249">
        <f t="shared" si="75"/>
        <v>0</v>
      </c>
    </row>
    <row r="97" spans="1:17">
      <c r="A97" s="18"/>
      <c r="B97" s="44" t="s">
        <v>151</v>
      </c>
      <c r="C97" s="234"/>
      <c r="D97" s="45" t="s">
        <v>421</v>
      </c>
      <c r="E97" s="20" t="s">
        <v>133</v>
      </c>
      <c r="F97" s="22">
        <v>95</v>
      </c>
      <c r="G97" s="23" t="str">
        <f t="shared" si="80"/>
        <v/>
      </c>
      <c r="H97" s="18"/>
      <c r="I97" s="189">
        <v>16</v>
      </c>
      <c r="J97" s="188">
        <f t="shared" si="81"/>
        <v>0</v>
      </c>
      <c r="K97" s="185">
        <f t="shared" si="82"/>
        <v>0</v>
      </c>
      <c r="L97" s="214"/>
      <c r="M97" s="214"/>
      <c r="N97" s="230">
        <f>2156/1728</f>
        <v>1.2476851851851851</v>
      </c>
      <c r="O97" s="232">
        <f t="shared" si="83"/>
        <v>0</v>
      </c>
      <c r="P97" s="250">
        <f t="shared" si="74"/>
        <v>12.987951807228916</v>
      </c>
      <c r="Q97" s="249">
        <f t="shared" si="75"/>
        <v>0</v>
      </c>
    </row>
    <row r="98" spans="1:17">
      <c r="A98" s="18"/>
      <c r="B98" s="44" t="s">
        <v>152</v>
      </c>
      <c r="C98" s="234"/>
      <c r="D98" s="45" t="s">
        <v>420</v>
      </c>
      <c r="E98" s="20" t="s">
        <v>133</v>
      </c>
      <c r="F98" s="22">
        <v>95</v>
      </c>
      <c r="G98" s="23" t="str">
        <f t="shared" si="80"/>
        <v/>
      </c>
      <c r="H98" s="18"/>
      <c r="I98" s="189">
        <v>16</v>
      </c>
      <c r="J98" s="188">
        <f t="shared" si="81"/>
        <v>0</v>
      </c>
      <c r="K98" s="185">
        <f t="shared" si="82"/>
        <v>0</v>
      </c>
      <c r="L98" s="214"/>
      <c r="M98" s="214"/>
      <c r="N98" s="230">
        <f>2548/1728</f>
        <v>1.474537037037037</v>
      </c>
      <c r="O98" s="232">
        <f t="shared" si="83"/>
        <v>0</v>
      </c>
      <c r="P98" s="250">
        <f t="shared" si="74"/>
        <v>15.349397590361447</v>
      </c>
      <c r="Q98" s="249">
        <f t="shared" si="75"/>
        <v>0</v>
      </c>
    </row>
    <row r="99" spans="1:17">
      <c r="A99" s="18"/>
      <c r="B99" s="44" t="s">
        <v>366</v>
      </c>
      <c r="C99" s="234"/>
      <c r="D99" s="45" t="s">
        <v>419</v>
      </c>
      <c r="E99" s="20" t="s">
        <v>133</v>
      </c>
      <c r="F99" s="22">
        <v>95</v>
      </c>
      <c r="G99" s="23" t="str">
        <f t="shared" si="80"/>
        <v/>
      </c>
      <c r="H99" s="18"/>
      <c r="I99" s="189">
        <v>16</v>
      </c>
      <c r="J99" s="188">
        <f t="shared" si="81"/>
        <v>0</v>
      </c>
      <c r="K99" s="185">
        <f t="shared" si="82"/>
        <v>0</v>
      </c>
      <c r="L99" s="214"/>
      <c r="M99" s="214"/>
      <c r="N99" s="230">
        <f>2940/1728</f>
        <v>1.7013888888888888</v>
      </c>
      <c r="O99" s="232">
        <f t="shared" si="83"/>
        <v>0</v>
      </c>
      <c r="P99" s="250">
        <f t="shared" si="74"/>
        <v>17.710843373493976</v>
      </c>
      <c r="Q99" s="249">
        <f t="shared" si="75"/>
        <v>0</v>
      </c>
    </row>
    <row r="100" spans="1:17">
      <c r="A100" s="18"/>
      <c r="B100" s="44" t="s">
        <v>153</v>
      </c>
      <c r="C100" s="54"/>
      <c r="D100" s="45" t="s">
        <v>418</v>
      </c>
      <c r="E100" s="49" t="s">
        <v>133</v>
      </c>
      <c r="F100" s="22">
        <v>95</v>
      </c>
      <c r="G100" s="23" t="str">
        <f t="shared" si="80"/>
        <v/>
      </c>
      <c r="H100" s="18"/>
      <c r="I100" s="189">
        <v>30</v>
      </c>
      <c r="J100" s="188">
        <f t="shared" si="81"/>
        <v>0</v>
      </c>
      <c r="K100" s="185">
        <f t="shared" si="82"/>
        <v>0</v>
      </c>
      <c r="L100" s="214"/>
      <c r="M100" s="214"/>
      <c r="N100" s="230">
        <f>5040/1728</f>
        <v>2.9166666666666665</v>
      </c>
      <c r="O100" s="232">
        <f t="shared" si="83"/>
        <v>0</v>
      </c>
      <c r="P100" s="250">
        <f t="shared" si="74"/>
        <v>30.361445783132531</v>
      </c>
      <c r="Q100" s="249">
        <f t="shared" si="75"/>
        <v>0</v>
      </c>
    </row>
    <row r="101" spans="1:17">
      <c r="A101" s="18"/>
      <c r="B101" s="44" t="s">
        <v>478</v>
      </c>
      <c r="C101" s="234"/>
      <c r="D101" s="45" t="s">
        <v>477</v>
      </c>
      <c r="E101" s="49" t="s">
        <v>378</v>
      </c>
      <c r="F101" s="22">
        <v>6</v>
      </c>
      <c r="G101" s="23" t="str">
        <f t="shared" ref="G101" si="84">IF(C101&gt;0,+(C101*F101),"")</f>
        <v/>
      </c>
      <c r="H101" s="18"/>
      <c r="I101" s="189">
        <v>1.7</v>
      </c>
      <c r="J101" s="188">
        <f t="shared" ref="J101" si="85">+C101*I101</f>
        <v>0</v>
      </c>
      <c r="K101" s="185">
        <f>+C101/10</f>
        <v>0</v>
      </c>
      <c r="L101" s="214"/>
      <c r="M101" s="214"/>
      <c r="N101" s="230">
        <f>150/1728</f>
        <v>8.6805555555555552E-2</v>
      </c>
      <c r="O101" s="232">
        <f t="shared" ref="O101" si="86">+C101*N101</f>
        <v>0</v>
      </c>
      <c r="P101" s="250">
        <f t="shared" ref="P101" si="87">((+N101*1728)/166)</f>
        <v>0.90361445783132532</v>
      </c>
      <c r="Q101" s="249">
        <f t="shared" ref="Q101" si="88">IF(P101&gt;I101,+P101*C101,+I101*C101)</f>
        <v>0</v>
      </c>
    </row>
    <row r="102" spans="1:17">
      <c r="A102" s="18"/>
      <c r="B102" s="44" t="s">
        <v>331</v>
      </c>
      <c r="C102" s="54"/>
      <c r="D102" s="45" t="s">
        <v>417</v>
      </c>
      <c r="E102" s="49" t="s">
        <v>378</v>
      </c>
      <c r="F102" s="22">
        <v>6</v>
      </c>
      <c r="G102" s="23" t="str">
        <f t="shared" si="80"/>
        <v/>
      </c>
      <c r="H102" s="18"/>
      <c r="I102" s="189">
        <v>1.7</v>
      </c>
      <c r="J102" s="188">
        <f t="shared" si="81"/>
        <v>0</v>
      </c>
      <c r="K102" s="185">
        <f>+C102/10</f>
        <v>0</v>
      </c>
      <c r="L102" s="214"/>
      <c r="M102" s="214"/>
      <c r="N102" s="230">
        <f>150/1728</f>
        <v>8.6805555555555552E-2</v>
      </c>
      <c r="O102" s="232">
        <f t="shared" si="79"/>
        <v>0</v>
      </c>
      <c r="P102" s="250">
        <f t="shared" si="74"/>
        <v>0.90361445783132532</v>
      </c>
      <c r="Q102" s="249">
        <f t="shared" si="75"/>
        <v>0</v>
      </c>
    </row>
    <row r="103" spans="1:17">
      <c r="A103" s="18"/>
      <c r="B103" s="44" t="s">
        <v>348</v>
      </c>
      <c r="C103" s="54"/>
      <c r="D103" s="45" t="s">
        <v>416</v>
      </c>
      <c r="E103" s="20" t="s">
        <v>133</v>
      </c>
      <c r="F103" s="22">
        <v>22</v>
      </c>
      <c r="G103" s="23" t="str">
        <f t="shared" si="76"/>
        <v/>
      </c>
      <c r="H103" s="18"/>
      <c r="I103" s="189">
        <v>5</v>
      </c>
      <c r="J103" s="188">
        <f t="shared" si="77"/>
        <v>0</v>
      </c>
      <c r="K103" s="185">
        <f t="shared" si="78"/>
        <v>0</v>
      </c>
      <c r="L103" s="214"/>
      <c r="M103" s="214"/>
      <c r="N103" s="230">
        <f>1440/1728</f>
        <v>0.83333333333333337</v>
      </c>
      <c r="O103" s="232">
        <f t="shared" si="79"/>
        <v>0</v>
      </c>
      <c r="P103" s="250">
        <f t="shared" si="74"/>
        <v>8.6746987951807224</v>
      </c>
      <c r="Q103" s="249">
        <f t="shared" si="75"/>
        <v>0</v>
      </c>
    </row>
    <row r="104" spans="1:17">
      <c r="A104" s="18"/>
      <c r="B104" s="44" t="s">
        <v>349</v>
      </c>
      <c r="C104" s="234"/>
      <c r="D104" s="45" t="s">
        <v>415</v>
      </c>
      <c r="E104" s="20" t="s">
        <v>133</v>
      </c>
      <c r="F104" s="22">
        <v>30</v>
      </c>
      <c r="G104" s="23" t="str">
        <f>IF(C104&gt;0,+(C104*F104),"")</f>
        <v/>
      </c>
      <c r="H104" s="18"/>
      <c r="I104" s="189">
        <v>8</v>
      </c>
      <c r="J104" s="188">
        <f>+C104*I104</f>
        <v>0</v>
      </c>
      <c r="K104" s="185">
        <f>+C104/1</f>
        <v>0</v>
      </c>
      <c r="L104" s="214"/>
      <c r="M104" s="214"/>
      <c r="N104" s="230">
        <f>2600/1728</f>
        <v>1.5046296296296295</v>
      </c>
      <c r="O104" s="232">
        <f t="shared" si="79"/>
        <v>0</v>
      </c>
      <c r="P104" s="250">
        <f t="shared" si="74"/>
        <v>15.662650602409638</v>
      </c>
      <c r="Q104" s="249">
        <f t="shared" si="75"/>
        <v>0</v>
      </c>
    </row>
    <row r="105" spans="1:17">
      <c r="A105" s="18"/>
      <c r="B105" s="44" t="s">
        <v>662</v>
      </c>
      <c r="C105" s="54"/>
      <c r="D105" s="45" t="s">
        <v>663</v>
      </c>
      <c r="E105" s="20" t="s">
        <v>133</v>
      </c>
      <c r="F105" s="22">
        <v>90</v>
      </c>
      <c r="G105" s="23" t="str">
        <f t="shared" si="76"/>
        <v/>
      </c>
      <c r="H105" s="18"/>
      <c r="I105" s="189">
        <v>16</v>
      </c>
      <c r="J105" s="188">
        <f t="shared" si="77"/>
        <v>0</v>
      </c>
      <c r="K105" s="185">
        <f t="shared" ref="K105" si="89">+C105/1</f>
        <v>0</v>
      </c>
      <c r="L105" s="214"/>
      <c r="M105" s="214"/>
      <c r="N105" s="230">
        <f>2565/1728</f>
        <v>1.484375</v>
      </c>
      <c r="O105" s="232">
        <f t="shared" si="79"/>
        <v>0</v>
      </c>
      <c r="P105" s="250">
        <f t="shared" si="74"/>
        <v>15.451807228915662</v>
      </c>
      <c r="Q105" s="249">
        <f t="shared" si="75"/>
        <v>0</v>
      </c>
    </row>
    <row r="106" spans="1:17" ht="3" customHeight="1">
      <c r="A106" s="18"/>
      <c r="B106" s="27"/>
      <c r="C106" s="30"/>
      <c r="D106" s="29"/>
      <c r="E106" s="28"/>
      <c r="F106" s="38"/>
      <c r="G106" s="31"/>
      <c r="H106" s="18"/>
      <c r="I106" s="158"/>
      <c r="J106" s="158"/>
      <c r="K106" s="158"/>
      <c r="L106" s="158"/>
      <c r="M106" s="158"/>
      <c r="N106" s="158"/>
      <c r="O106" s="158"/>
      <c r="P106" s="158"/>
      <c r="Q106" s="158"/>
    </row>
    <row r="107" spans="1:17">
      <c r="A107" s="10"/>
      <c r="B107" s="137" t="s">
        <v>108</v>
      </c>
      <c r="C107" s="138" t="str">
        <f>IF(SUM(C93:C106)&gt;0,SUM(C93:C106),"")</f>
        <v/>
      </c>
      <c r="D107" s="139"/>
      <c r="E107" s="140"/>
      <c r="F107" s="141"/>
      <c r="G107" s="142" t="str">
        <f>IF(SUM(G93:G106)&gt;0,SUM(G93:G106),"")</f>
        <v/>
      </c>
      <c r="H107" s="10"/>
      <c r="I107" s="215"/>
      <c r="J107" s="215">
        <f>SUM(J93:J106)</f>
        <v>0</v>
      </c>
      <c r="K107" s="215">
        <f>SUM(K93:K106)</f>
        <v>0</v>
      </c>
      <c r="L107" s="211"/>
      <c r="M107" s="212"/>
      <c r="N107" s="215"/>
      <c r="O107" s="215">
        <f>SUM(O93:O106)</f>
        <v>0</v>
      </c>
      <c r="P107" s="215"/>
      <c r="Q107" s="215">
        <f>SUM(Q93:Q106)</f>
        <v>0</v>
      </c>
    </row>
    <row r="108" spans="1:17">
      <c r="A108" s="32"/>
      <c r="C108" s="35"/>
      <c r="F108" s="46"/>
      <c r="G108" s="36"/>
      <c r="H108" s="32"/>
      <c r="I108" s="160"/>
      <c r="J108" s="160"/>
      <c r="K108" s="160"/>
    </row>
    <row r="109" spans="1:17">
      <c r="A109" s="16"/>
      <c r="B109" s="7" t="s">
        <v>56</v>
      </c>
      <c r="C109" s="7" t="s">
        <v>59</v>
      </c>
      <c r="D109" s="8" t="s">
        <v>361</v>
      </c>
      <c r="E109" s="7" t="s">
        <v>57</v>
      </c>
      <c r="F109" s="43" t="s">
        <v>60</v>
      </c>
      <c r="G109" s="37" t="s">
        <v>61</v>
      </c>
      <c r="H109" s="16"/>
      <c r="I109" s="182" t="s">
        <v>379</v>
      </c>
      <c r="J109" s="182" t="s">
        <v>381</v>
      </c>
      <c r="K109" s="182" t="s">
        <v>380</v>
      </c>
      <c r="L109" s="191" t="s">
        <v>382</v>
      </c>
      <c r="M109" s="191" t="s">
        <v>383</v>
      </c>
      <c r="N109" s="182" t="s">
        <v>391</v>
      </c>
      <c r="O109" s="182" t="s">
        <v>488</v>
      </c>
      <c r="P109" s="247" t="s">
        <v>441</v>
      </c>
      <c r="Q109" s="247" t="s">
        <v>489</v>
      </c>
    </row>
    <row r="110" spans="1:17">
      <c r="A110" s="18"/>
      <c r="B110" s="44" t="s">
        <v>466</v>
      </c>
      <c r="C110" s="234"/>
      <c r="D110" s="45" t="s">
        <v>476</v>
      </c>
      <c r="E110" s="20" t="s">
        <v>135</v>
      </c>
      <c r="F110" s="22">
        <v>2</v>
      </c>
      <c r="G110" s="23" t="str">
        <f>IF(C110&gt;0,+(C110*F110),"")</f>
        <v/>
      </c>
      <c r="H110" s="18"/>
      <c r="I110" s="189">
        <v>0.02</v>
      </c>
      <c r="J110" s="188">
        <f t="shared" ref="J110" si="90">+C110*I110</f>
        <v>0</v>
      </c>
      <c r="K110" s="196">
        <f t="shared" ref="K110:K115" si="91">+C110*N110</f>
        <v>0</v>
      </c>
      <c r="L110" s="214"/>
      <c r="M110" s="214"/>
      <c r="N110" s="230">
        <f>10.8/1728</f>
        <v>6.2500000000000003E-3</v>
      </c>
      <c r="O110" s="232">
        <f t="shared" ref="O110" si="92">+C110*N110</f>
        <v>0</v>
      </c>
      <c r="P110" s="250">
        <f t="shared" ref="P110" si="93">((+N110*1728)/166)</f>
        <v>6.5060240963855431E-2</v>
      </c>
      <c r="Q110" s="249">
        <f t="shared" ref="Q110" si="94">IF(P110&gt;I110,+P110*C110,+I110*C110)</f>
        <v>0</v>
      </c>
    </row>
    <row r="111" spans="1:17">
      <c r="A111" s="18"/>
      <c r="B111" s="44" t="s">
        <v>491</v>
      </c>
      <c r="C111" s="234"/>
      <c r="D111" s="45" t="s">
        <v>492</v>
      </c>
      <c r="E111" s="20" t="s">
        <v>156</v>
      </c>
      <c r="F111" s="22">
        <v>5</v>
      </c>
      <c r="G111" s="23" t="str">
        <f t="shared" ref="G111" si="95">IF(C111&gt;0,+(C111*F111),"")</f>
        <v/>
      </c>
      <c r="H111" s="18"/>
      <c r="I111" s="189">
        <v>0.65</v>
      </c>
      <c r="J111" s="188">
        <f t="shared" ref="J111" si="96">+C111*I111</f>
        <v>0</v>
      </c>
      <c r="K111" s="196">
        <f t="shared" si="91"/>
        <v>0</v>
      </c>
      <c r="L111" s="214"/>
      <c r="M111" s="214"/>
      <c r="N111" s="230">
        <f t="shared" ref="N111" si="97">32/1728</f>
        <v>1.8518518518518517E-2</v>
      </c>
      <c r="O111" s="232">
        <f t="shared" ref="O111" si="98">+C111*N111</f>
        <v>0</v>
      </c>
      <c r="P111" s="250">
        <f t="shared" ref="P111" si="99">((+N111*1728)/166)</f>
        <v>0.19277108433734941</v>
      </c>
      <c r="Q111" s="249">
        <f t="shared" ref="Q111" si="100">IF(P111&gt;I111,+P111*C111,+I111*C111)</f>
        <v>0</v>
      </c>
    </row>
    <row r="112" spans="1:17">
      <c r="A112" s="18"/>
      <c r="B112" s="44" t="s">
        <v>157</v>
      </c>
      <c r="C112" s="234"/>
      <c r="D112" s="45" t="s">
        <v>423</v>
      </c>
      <c r="E112" s="49" t="s">
        <v>156</v>
      </c>
      <c r="F112" s="22">
        <v>5</v>
      </c>
      <c r="G112" s="23" t="str">
        <f>IF(C112&gt;0,+(C112*F112),"")</f>
        <v/>
      </c>
      <c r="H112" s="18"/>
      <c r="I112" s="189">
        <v>0.65</v>
      </c>
      <c r="J112" s="188">
        <f t="shared" ref="J112:J115" si="101">+C112*I112</f>
        <v>0</v>
      </c>
      <c r="K112" s="196">
        <f t="shared" si="91"/>
        <v>0</v>
      </c>
      <c r="L112" s="214"/>
      <c r="M112" s="214"/>
      <c r="N112" s="230">
        <f t="shared" ref="N112:N113" si="102">32/1728</f>
        <v>1.8518518518518517E-2</v>
      </c>
      <c r="O112" s="232">
        <f t="shared" ref="O112:O124" si="103">+C112*N112</f>
        <v>0</v>
      </c>
      <c r="P112" s="250">
        <f t="shared" ref="P112:P124" si="104">((+N112*1728)/166)</f>
        <v>0.19277108433734941</v>
      </c>
      <c r="Q112" s="249">
        <f t="shared" ref="Q112:Q124" si="105">IF(P112&gt;I112,+P112*C112,+I112*C112)</f>
        <v>0</v>
      </c>
    </row>
    <row r="113" spans="1:17">
      <c r="A113" s="18"/>
      <c r="B113" s="44" t="s">
        <v>158</v>
      </c>
      <c r="C113" s="234"/>
      <c r="D113" s="45" t="s">
        <v>424</v>
      </c>
      <c r="E113" s="49" t="s">
        <v>156</v>
      </c>
      <c r="F113" s="22">
        <v>5</v>
      </c>
      <c r="G113" s="23" t="str">
        <f t="shared" ref="G113:G115" si="106">IF(C113&gt;0,+(C113*F113),"")</f>
        <v/>
      </c>
      <c r="H113" s="18"/>
      <c r="I113" s="189">
        <v>0.65</v>
      </c>
      <c r="J113" s="188">
        <f t="shared" si="101"/>
        <v>0</v>
      </c>
      <c r="K113" s="196">
        <f t="shared" si="91"/>
        <v>0</v>
      </c>
      <c r="L113" s="214"/>
      <c r="M113" s="214"/>
      <c r="N113" s="230">
        <f t="shared" si="102"/>
        <v>1.8518518518518517E-2</v>
      </c>
      <c r="O113" s="232">
        <f t="shared" si="103"/>
        <v>0</v>
      </c>
      <c r="P113" s="250">
        <f t="shared" si="104"/>
        <v>0.19277108433734941</v>
      </c>
      <c r="Q113" s="249">
        <f t="shared" si="105"/>
        <v>0</v>
      </c>
    </row>
    <row r="114" spans="1:17">
      <c r="A114" s="18"/>
      <c r="B114" s="44" t="s">
        <v>159</v>
      </c>
      <c r="C114" s="234"/>
      <c r="D114" s="45" t="s">
        <v>160</v>
      </c>
      <c r="E114" s="49" t="s">
        <v>156</v>
      </c>
      <c r="F114" s="22">
        <v>5</v>
      </c>
      <c r="G114" s="23" t="str">
        <f t="shared" si="106"/>
        <v/>
      </c>
      <c r="H114" s="18"/>
      <c r="I114" s="189">
        <v>0.65</v>
      </c>
      <c r="J114" s="188">
        <f t="shared" si="101"/>
        <v>0</v>
      </c>
      <c r="K114" s="196">
        <f t="shared" si="91"/>
        <v>0</v>
      </c>
      <c r="L114" s="214"/>
      <c r="M114" s="214"/>
      <c r="N114" s="230">
        <f>16/1728</f>
        <v>9.2592592592592587E-3</v>
      </c>
      <c r="O114" s="232">
        <f t="shared" si="103"/>
        <v>0</v>
      </c>
      <c r="P114" s="250">
        <f t="shared" si="104"/>
        <v>9.6385542168674704E-2</v>
      </c>
      <c r="Q114" s="249">
        <f t="shared" si="105"/>
        <v>0</v>
      </c>
    </row>
    <row r="115" spans="1:17">
      <c r="A115" s="18"/>
      <c r="B115" s="44" t="s">
        <v>161</v>
      </c>
      <c r="C115" s="234"/>
      <c r="D115" s="45" t="s">
        <v>162</v>
      </c>
      <c r="E115" s="20" t="s">
        <v>135</v>
      </c>
      <c r="F115" s="22">
        <v>15</v>
      </c>
      <c r="G115" s="23" t="str">
        <f t="shared" si="106"/>
        <v/>
      </c>
      <c r="H115" s="18"/>
      <c r="I115" s="189">
        <v>0.05</v>
      </c>
      <c r="J115" s="188">
        <f t="shared" si="101"/>
        <v>0</v>
      </c>
      <c r="K115" s="196">
        <f t="shared" si="91"/>
        <v>0</v>
      </c>
      <c r="L115" s="214"/>
      <c r="M115" s="214"/>
      <c r="N115" s="230">
        <f>1/1728</f>
        <v>5.7870370370370367E-4</v>
      </c>
      <c r="O115" s="232">
        <f t="shared" si="103"/>
        <v>0</v>
      </c>
      <c r="P115" s="250">
        <f t="shared" si="104"/>
        <v>6.024096385542169E-3</v>
      </c>
      <c r="Q115" s="249">
        <f t="shared" si="105"/>
        <v>0</v>
      </c>
    </row>
    <row r="116" spans="1:17">
      <c r="A116" s="18"/>
      <c r="B116" s="44" t="s">
        <v>602</v>
      </c>
      <c r="C116" s="234"/>
      <c r="D116" s="45" t="s">
        <v>603</v>
      </c>
      <c r="E116" s="20" t="s">
        <v>135</v>
      </c>
      <c r="F116" s="22">
        <v>248</v>
      </c>
      <c r="G116" s="23" t="str">
        <f t="shared" ref="G116:G118" si="107">IF(C116&gt;0,+(C116*F116),"")</f>
        <v/>
      </c>
      <c r="H116" s="18"/>
      <c r="I116" s="189">
        <v>14</v>
      </c>
      <c r="J116" s="188">
        <f t="shared" ref="J116:J118" si="108">+C116*I116</f>
        <v>0</v>
      </c>
      <c r="K116" s="196">
        <f t="shared" ref="K116:K118" si="109">+C116*N116</f>
        <v>0</v>
      </c>
      <c r="L116" s="214"/>
      <c r="M116" s="214"/>
      <c r="N116" s="230">
        <f>1536/1728</f>
        <v>0.88888888888888884</v>
      </c>
      <c r="O116" s="232">
        <f t="shared" ref="O116:O118" si="110">+C116*N116</f>
        <v>0</v>
      </c>
      <c r="P116" s="250">
        <f t="shared" ref="P116:P118" si="111">((+N116*1728)/166)</f>
        <v>9.2530120481927707</v>
      </c>
      <c r="Q116" s="249">
        <f t="shared" ref="Q116:Q118" si="112">IF(P116&gt;I116,+P116*C116,+I116*C116)</f>
        <v>0</v>
      </c>
    </row>
    <row r="117" spans="1:17">
      <c r="A117" s="18"/>
      <c r="B117" s="44" t="s">
        <v>604</v>
      </c>
      <c r="C117" s="234"/>
      <c r="D117" s="45" t="s">
        <v>605</v>
      </c>
      <c r="E117" s="20" t="s">
        <v>135</v>
      </c>
      <c r="F117" s="22">
        <v>248</v>
      </c>
      <c r="G117" s="23" t="str">
        <f t="shared" si="107"/>
        <v/>
      </c>
      <c r="H117" s="18"/>
      <c r="I117" s="189">
        <v>14</v>
      </c>
      <c r="J117" s="188">
        <f t="shared" si="108"/>
        <v>0</v>
      </c>
      <c r="K117" s="196">
        <f t="shared" si="109"/>
        <v>0</v>
      </c>
      <c r="L117" s="214"/>
      <c r="M117" s="214"/>
      <c r="N117" s="230">
        <f t="shared" ref="N117:N118" si="113">1536/1728</f>
        <v>0.88888888888888884</v>
      </c>
      <c r="O117" s="232">
        <f t="shared" si="110"/>
        <v>0</v>
      </c>
      <c r="P117" s="250">
        <f t="shared" si="111"/>
        <v>9.2530120481927707</v>
      </c>
      <c r="Q117" s="249">
        <f t="shared" si="112"/>
        <v>0</v>
      </c>
    </row>
    <row r="118" spans="1:17">
      <c r="A118" s="18"/>
      <c r="B118" s="44" t="s">
        <v>606</v>
      </c>
      <c r="C118" s="234"/>
      <c r="D118" s="45" t="s">
        <v>607</v>
      </c>
      <c r="E118" s="20" t="s">
        <v>135</v>
      </c>
      <c r="F118" s="22">
        <v>248</v>
      </c>
      <c r="G118" s="23" t="str">
        <f t="shared" si="107"/>
        <v/>
      </c>
      <c r="H118" s="18"/>
      <c r="I118" s="189">
        <v>14</v>
      </c>
      <c r="J118" s="188">
        <f t="shared" si="108"/>
        <v>0</v>
      </c>
      <c r="K118" s="196">
        <f t="shared" si="109"/>
        <v>0</v>
      </c>
      <c r="L118" s="214"/>
      <c r="M118" s="214"/>
      <c r="N118" s="230">
        <f t="shared" si="113"/>
        <v>0.88888888888888884</v>
      </c>
      <c r="O118" s="232">
        <f t="shared" si="110"/>
        <v>0</v>
      </c>
      <c r="P118" s="250">
        <f t="shared" si="111"/>
        <v>9.2530120481927707</v>
      </c>
      <c r="Q118" s="249">
        <f t="shared" si="112"/>
        <v>0</v>
      </c>
    </row>
    <row r="119" spans="1:17">
      <c r="A119" s="18"/>
      <c r="B119" s="44" t="s">
        <v>618</v>
      </c>
      <c r="C119" s="234"/>
      <c r="D119" s="45" t="s">
        <v>619</v>
      </c>
      <c r="E119" s="20" t="s">
        <v>135</v>
      </c>
      <c r="F119" s="22">
        <v>18.5</v>
      </c>
      <c r="G119" s="23" t="str">
        <f t="shared" ref="G119" si="114">IF(C119&gt;0,+(C119*F119),"")</f>
        <v/>
      </c>
      <c r="H119" s="18"/>
      <c r="I119" s="189">
        <v>2</v>
      </c>
      <c r="J119" s="188">
        <f t="shared" ref="J119" si="115">+C119*I119</f>
        <v>0</v>
      </c>
      <c r="K119" s="185">
        <f t="shared" ref="K119" si="116">+C119/1</f>
        <v>0</v>
      </c>
      <c r="L119" s="214"/>
      <c r="M119" s="214"/>
      <c r="N119" s="230">
        <f>960/1728</f>
        <v>0.55555555555555558</v>
      </c>
      <c r="O119" s="232">
        <f t="shared" ref="O119" si="117">+C119*N119</f>
        <v>0</v>
      </c>
      <c r="P119" s="250">
        <f t="shared" ref="P119" si="118">((+N119*1728)/166)</f>
        <v>5.7831325301204819</v>
      </c>
      <c r="Q119" s="249">
        <f t="shared" ref="Q119" si="119">IF(P119&gt;I119,+P119*C119,+I119*C119)</f>
        <v>0</v>
      </c>
    </row>
    <row r="120" spans="1:17">
      <c r="A120" s="18"/>
      <c r="B120" s="44" t="s">
        <v>163</v>
      </c>
      <c r="C120" s="234"/>
      <c r="D120" s="45" t="s">
        <v>425</v>
      </c>
      <c r="E120" s="49" t="s">
        <v>135</v>
      </c>
      <c r="F120" s="22">
        <v>95</v>
      </c>
      <c r="G120" s="23" t="str">
        <f t="shared" ref="G120:G124" si="120">IF(C120&gt;0,+(C120*F120),"")</f>
        <v/>
      </c>
      <c r="H120" s="18"/>
      <c r="I120" s="189">
        <v>11</v>
      </c>
      <c r="J120" s="188">
        <f t="shared" ref="J120:J124" si="121">+C120*I120</f>
        <v>0</v>
      </c>
      <c r="K120" s="185">
        <f t="shared" ref="K120:K122" si="122">+C120/1</f>
        <v>0</v>
      </c>
      <c r="L120" s="214"/>
      <c r="M120" s="214"/>
      <c r="N120" s="230">
        <f>2880/1728</f>
        <v>1.6666666666666667</v>
      </c>
      <c r="O120" s="232">
        <f t="shared" si="103"/>
        <v>0</v>
      </c>
      <c r="P120" s="250">
        <f t="shared" si="104"/>
        <v>17.349397590361445</v>
      </c>
      <c r="Q120" s="249">
        <f t="shared" si="105"/>
        <v>0</v>
      </c>
    </row>
    <row r="121" spans="1:17">
      <c r="A121" s="18"/>
      <c r="B121" s="44" t="s">
        <v>164</v>
      </c>
      <c r="C121" s="234"/>
      <c r="D121" s="45" t="s">
        <v>426</v>
      </c>
      <c r="E121" s="49" t="s">
        <v>135</v>
      </c>
      <c r="F121" s="22">
        <v>80</v>
      </c>
      <c r="G121" s="23" t="str">
        <f t="shared" si="120"/>
        <v/>
      </c>
      <c r="H121" s="18"/>
      <c r="I121" s="189">
        <v>6</v>
      </c>
      <c r="J121" s="188">
        <f t="shared" si="121"/>
        <v>0</v>
      </c>
      <c r="K121" s="185">
        <f t="shared" si="122"/>
        <v>0</v>
      </c>
      <c r="L121" s="214"/>
      <c r="M121" s="214"/>
      <c r="N121" s="230">
        <f>1824/1728</f>
        <v>1.0555555555555556</v>
      </c>
      <c r="O121" s="232">
        <f t="shared" si="103"/>
        <v>0</v>
      </c>
      <c r="P121" s="250">
        <f t="shared" si="104"/>
        <v>10.987951807228916</v>
      </c>
      <c r="Q121" s="249">
        <f t="shared" si="105"/>
        <v>0</v>
      </c>
    </row>
    <row r="122" spans="1:17">
      <c r="A122" s="18"/>
      <c r="B122" s="44" t="s">
        <v>165</v>
      </c>
      <c r="C122" s="234"/>
      <c r="D122" s="45" t="s">
        <v>427</v>
      </c>
      <c r="E122" s="49" t="s">
        <v>135</v>
      </c>
      <c r="F122" s="22">
        <v>65</v>
      </c>
      <c r="G122" s="23" t="str">
        <f t="shared" si="120"/>
        <v/>
      </c>
      <c r="H122" s="18"/>
      <c r="I122" s="189">
        <v>4</v>
      </c>
      <c r="J122" s="188">
        <f t="shared" si="121"/>
        <v>0</v>
      </c>
      <c r="K122" s="185">
        <f t="shared" si="122"/>
        <v>0</v>
      </c>
      <c r="L122" s="214"/>
      <c r="M122" s="214"/>
      <c r="N122" s="230">
        <f>532/1728</f>
        <v>0.30787037037037035</v>
      </c>
      <c r="O122" s="232">
        <f t="shared" si="103"/>
        <v>0</v>
      </c>
      <c r="P122" s="250">
        <f t="shared" si="104"/>
        <v>3.2048192771084336</v>
      </c>
      <c r="Q122" s="249">
        <f t="shared" si="105"/>
        <v>0</v>
      </c>
    </row>
    <row r="123" spans="1:17">
      <c r="A123" s="18"/>
      <c r="B123" s="44" t="s">
        <v>166</v>
      </c>
      <c r="C123" s="234"/>
      <c r="D123" s="45" t="s">
        <v>428</v>
      </c>
      <c r="E123" s="49" t="s">
        <v>135</v>
      </c>
      <c r="F123" s="22">
        <v>195</v>
      </c>
      <c r="G123" s="23" t="str">
        <f t="shared" si="120"/>
        <v/>
      </c>
      <c r="H123" s="18"/>
      <c r="I123" s="189">
        <v>45</v>
      </c>
      <c r="J123" s="188">
        <f t="shared" si="121"/>
        <v>0</v>
      </c>
      <c r="K123" s="185">
        <f>+C123/0.5</f>
        <v>0</v>
      </c>
      <c r="L123" s="244">
        <f>IF(G123="",0,IF((G123&lt;100),0,IF((ROUND((G123/100)-1,0)*0.9)&lt;2.7,2.7,ROUND((G123/100)-1,0)*0.9)))</f>
        <v>0</v>
      </c>
      <c r="M123" s="217">
        <f>+K123*9</f>
        <v>0</v>
      </c>
      <c r="N123" s="230">
        <f>7344/1728</f>
        <v>4.25</v>
      </c>
      <c r="O123" s="232">
        <f t="shared" si="103"/>
        <v>0</v>
      </c>
      <c r="P123" s="250">
        <f t="shared" si="104"/>
        <v>44.24096385542169</v>
      </c>
      <c r="Q123" s="249">
        <f t="shared" si="105"/>
        <v>0</v>
      </c>
    </row>
    <row r="124" spans="1:17">
      <c r="A124" s="18"/>
      <c r="B124" s="44" t="s">
        <v>167</v>
      </c>
      <c r="C124" s="234"/>
      <c r="D124" s="45" t="s">
        <v>429</v>
      </c>
      <c r="E124" s="49" t="s">
        <v>135</v>
      </c>
      <c r="F124" s="22">
        <v>235</v>
      </c>
      <c r="G124" s="23" t="str">
        <f t="shared" si="120"/>
        <v/>
      </c>
      <c r="H124" s="18"/>
      <c r="I124" s="189">
        <f>32+12</f>
        <v>44</v>
      </c>
      <c r="J124" s="188">
        <f t="shared" si="121"/>
        <v>0</v>
      </c>
      <c r="K124" s="185">
        <f>+C124/0.5</f>
        <v>0</v>
      </c>
      <c r="L124" s="244">
        <f>IF(G124="",0,IF((G124&lt;100),0,IF((ROUND((G124/100)-1,0)*0.9)&lt;2.7,2.7,ROUND((G124/100)-1,0)*0.9)))</f>
        <v>0</v>
      </c>
      <c r="M124" s="217">
        <f>+K124*9</f>
        <v>0</v>
      </c>
      <c r="N124" s="230">
        <f>14688/1728</f>
        <v>8.5</v>
      </c>
      <c r="O124" s="232">
        <f t="shared" si="103"/>
        <v>0</v>
      </c>
      <c r="P124" s="250">
        <f t="shared" si="104"/>
        <v>88.481927710843379</v>
      </c>
      <c r="Q124" s="249">
        <f t="shared" si="105"/>
        <v>0</v>
      </c>
    </row>
    <row r="125" spans="1:17" ht="3" customHeight="1">
      <c r="A125" s="18"/>
      <c r="B125" s="27"/>
      <c r="C125" s="30"/>
      <c r="D125" s="29"/>
      <c r="E125" s="28"/>
      <c r="F125" s="50"/>
      <c r="G125" s="31"/>
      <c r="H125" s="18"/>
      <c r="I125" s="161"/>
      <c r="J125" s="161"/>
      <c r="K125" s="161"/>
      <c r="L125" s="161"/>
      <c r="M125" s="161"/>
      <c r="N125" s="161"/>
      <c r="O125" s="161"/>
      <c r="P125" s="161"/>
      <c r="Q125" s="161"/>
    </row>
    <row r="126" spans="1:17">
      <c r="A126" s="18"/>
      <c r="B126" s="137" t="s">
        <v>108</v>
      </c>
      <c r="C126" s="138" t="str">
        <f>IF(SUM(C110:C125)&gt;0,SUM(C110:C125),"")</f>
        <v/>
      </c>
      <c r="D126" s="139"/>
      <c r="E126" s="140"/>
      <c r="F126" s="141"/>
      <c r="G126" s="142" t="str">
        <f>IF(SUM(G110:G125)&gt;0,SUM(G110:G125),"")</f>
        <v/>
      </c>
      <c r="H126" s="18"/>
      <c r="I126" s="215"/>
      <c r="J126" s="215">
        <f>SUM(J110:J125)</f>
        <v>0</v>
      </c>
      <c r="K126" s="215">
        <f>SUM(K110:K125)</f>
        <v>0</v>
      </c>
      <c r="L126" s="211"/>
      <c r="M126" s="212"/>
      <c r="N126" s="215"/>
      <c r="O126" s="215">
        <f>SUM(O110:O125)</f>
        <v>0</v>
      </c>
      <c r="P126" s="215"/>
      <c r="Q126" s="215">
        <f>SUM(Q110:Q125)</f>
        <v>0</v>
      </c>
    </row>
    <row r="127" spans="1:17">
      <c r="A127" s="32"/>
      <c r="B127" s="32"/>
      <c r="C127" s="266"/>
      <c r="D127" s="34"/>
      <c r="E127" s="33"/>
      <c r="F127" s="163"/>
      <c r="G127" s="163"/>
      <c r="H127" s="32"/>
      <c r="I127" s="157"/>
      <c r="J127" s="160"/>
      <c r="K127" s="160"/>
    </row>
    <row r="128" spans="1:17">
      <c r="A128" s="16"/>
      <c r="B128" s="7" t="s">
        <v>56</v>
      </c>
      <c r="C128" s="7" t="s">
        <v>59</v>
      </c>
      <c r="D128" s="8" t="s">
        <v>362</v>
      </c>
      <c r="E128" s="7" t="s">
        <v>57</v>
      </c>
      <c r="F128" s="43" t="s">
        <v>60</v>
      </c>
      <c r="G128" s="37" t="s">
        <v>61</v>
      </c>
      <c r="H128" s="16"/>
      <c r="I128" s="182" t="s">
        <v>379</v>
      </c>
      <c r="J128" s="182" t="s">
        <v>381</v>
      </c>
      <c r="K128" s="182" t="s">
        <v>380</v>
      </c>
      <c r="L128" s="191" t="s">
        <v>382</v>
      </c>
      <c r="M128" s="191" t="s">
        <v>383</v>
      </c>
      <c r="N128" s="182" t="s">
        <v>391</v>
      </c>
      <c r="O128" s="182" t="s">
        <v>488</v>
      </c>
      <c r="P128" s="247" t="s">
        <v>441</v>
      </c>
      <c r="Q128" s="247" t="s">
        <v>489</v>
      </c>
    </row>
    <row r="129" spans="1:17">
      <c r="A129" s="39"/>
      <c r="B129" s="44" t="s">
        <v>608</v>
      </c>
      <c r="C129" s="234"/>
      <c r="D129" s="45" t="s">
        <v>609</v>
      </c>
      <c r="E129" s="49" t="s">
        <v>135</v>
      </c>
      <c r="F129" s="23">
        <v>60</v>
      </c>
      <c r="G129" s="23" t="str">
        <f t="shared" ref="G129" si="123">IF(C129&gt;0,+(C129*F129),"")</f>
        <v/>
      </c>
      <c r="H129" s="18"/>
      <c r="I129" s="189">
        <v>1.05</v>
      </c>
      <c r="J129" s="188">
        <f t="shared" ref="J129" si="124">+C129*I129</f>
        <v>0</v>
      </c>
      <c r="K129" s="185">
        <f>+C129/1</f>
        <v>0</v>
      </c>
      <c r="L129" s="214"/>
      <c r="M129" s="214"/>
      <c r="N129" s="230">
        <f>(222)/1728</f>
        <v>0.12847222222222221</v>
      </c>
      <c r="O129" s="232">
        <f t="shared" ref="O129" si="125">+C129*N129</f>
        <v>0</v>
      </c>
      <c r="P129" s="250">
        <f t="shared" ref="P129" si="126">((+N129*1728)/166)</f>
        <v>1.3373493975903612</v>
      </c>
      <c r="Q129" s="249">
        <f t="shared" ref="Q129" si="127">IF(P129&gt;I129,+P129*C129,+I129*C129)</f>
        <v>0</v>
      </c>
    </row>
    <row r="130" spans="1:17">
      <c r="A130" s="18"/>
      <c r="B130" s="44" t="s">
        <v>467</v>
      </c>
      <c r="C130" s="234"/>
      <c r="D130" s="45" t="s">
        <v>533</v>
      </c>
      <c r="E130" s="49" t="s">
        <v>135</v>
      </c>
      <c r="F130" s="23">
        <v>50</v>
      </c>
      <c r="G130" s="23" t="str">
        <f t="shared" ref="G130:G135" si="128">IF(C130&gt;0,+(C130*F130),"")</f>
        <v/>
      </c>
      <c r="H130" s="18"/>
      <c r="I130" s="189">
        <v>2.1</v>
      </c>
      <c r="J130" s="188">
        <f t="shared" ref="J130:J135" si="129">+C130*I130</f>
        <v>0</v>
      </c>
      <c r="K130" s="185">
        <f>+C130/1</f>
        <v>0</v>
      </c>
      <c r="L130" s="214"/>
      <c r="M130" s="214"/>
      <c r="N130" s="230">
        <f>(28*7)/1728</f>
        <v>0.11342592592592593</v>
      </c>
      <c r="O130" s="232">
        <f t="shared" ref="O130:O135" si="130">+C130*N130</f>
        <v>0</v>
      </c>
      <c r="P130" s="250">
        <f t="shared" ref="P130:P135" si="131">((+N130*1728)/166)</f>
        <v>1.1807228915662651</v>
      </c>
      <c r="Q130" s="249">
        <f t="shared" ref="Q130:Q135" si="132">IF(P130&gt;I130,+P130*C130,+I130*C130)</f>
        <v>0</v>
      </c>
    </row>
    <row r="131" spans="1:17">
      <c r="A131" s="18"/>
      <c r="B131" s="44" t="s">
        <v>468</v>
      </c>
      <c r="C131" s="234"/>
      <c r="D131" s="45" t="s">
        <v>534</v>
      </c>
      <c r="E131" s="49" t="s">
        <v>135</v>
      </c>
      <c r="F131" s="162">
        <v>50</v>
      </c>
      <c r="G131" s="23" t="str">
        <f t="shared" si="128"/>
        <v/>
      </c>
      <c r="H131" s="18"/>
      <c r="I131" s="189">
        <v>1.2</v>
      </c>
      <c r="J131" s="188">
        <f t="shared" si="129"/>
        <v>0</v>
      </c>
      <c r="K131" s="185">
        <f t="shared" ref="K131:K132" si="133">+C131/1</f>
        <v>0</v>
      </c>
      <c r="L131" s="214"/>
      <c r="M131" s="214"/>
      <c r="N131" s="230">
        <f>(21*7)/1728</f>
        <v>8.5069444444444448E-2</v>
      </c>
      <c r="O131" s="232">
        <f t="shared" si="130"/>
        <v>0</v>
      </c>
      <c r="P131" s="250">
        <f t="shared" si="131"/>
        <v>0.88554216867469882</v>
      </c>
      <c r="Q131" s="249">
        <f t="shared" si="132"/>
        <v>0</v>
      </c>
    </row>
    <row r="132" spans="1:17">
      <c r="A132" s="18"/>
      <c r="B132" s="44" t="s">
        <v>469</v>
      </c>
      <c r="C132" s="234"/>
      <c r="D132" s="45" t="s">
        <v>535</v>
      </c>
      <c r="E132" s="49" t="s">
        <v>135</v>
      </c>
      <c r="F132" s="162">
        <v>50</v>
      </c>
      <c r="G132" s="23" t="str">
        <f t="shared" si="128"/>
        <v/>
      </c>
      <c r="H132" s="18"/>
      <c r="I132" s="189">
        <v>0.5</v>
      </c>
      <c r="J132" s="188">
        <f t="shared" si="129"/>
        <v>0</v>
      </c>
      <c r="K132" s="185">
        <f t="shared" si="133"/>
        <v>0</v>
      </c>
      <c r="L132" s="214"/>
      <c r="M132" s="214"/>
      <c r="N132" s="230">
        <f>(14*7)/1728</f>
        <v>5.6712962962962965E-2</v>
      </c>
      <c r="O132" s="232">
        <f t="shared" si="130"/>
        <v>0</v>
      </c>
      <c r="P132" s="250">
        <f t="shared" si="131"/>
        <v>0.59036144578313254</v>
      </c>
      <c r="Q132" s="249">
        <f t="shared" si="132"/>
        <v>0</v>
      </c>
    </row>
    <row r="133" spans="1:17">
      <c r="A133" s="18"/>
      <c r="B133" s="44" t="s">
        <v>527</v>
      </c>
      <c r="C133" s="234"/>
      <c r="D133" s="45" t="s">
        <v>530</v>
      </c>
      <c r="E133" s="49" t="s">
        <v>135</v>
      </c>
      <c r="F133" s="23">
        <v>50</v>
      </c>
      <c r="G133" s="23" t="str">
        <f t="shared" si="128"/>
        <v/>
      </c>
      <c r="H133" s="18"/>
      <c r="I133" s="189">
        <v>2.1</v>
      </c>
      <c r="J133" s="188">
        <f t="shared" si="129"/>
        <v>0</v>
      </c>
      <c r="K133" s="185">
        <f>+C133/1</f>
        <v>0</v>
      </c>
      <c r="L133" s="214"/>
      <c r="M133" s="214"/>
      <c r="N133" s="230">
        <f>(28*7)/1728</f>
        <v>0.11342592592592593</v>
      </c>
      <c r="O133" s="232">
        <f t="shared" si="130"/>
        <v>0</v>
      </c>
      <c r="P133" s="250">
        <f t="shared" si="131"/>
        <v>1.1807228915662651</v>
      </c>
      <c r="Q133" s="249">
        <f t="shared" si="132"/>
        <v>0</v>
      </c>
    </row>
    <row r="134" spans="1:17">
      <c r="A134" s="18"/>
      <c r="B134" s="44" t="s">
        <v>528</v>
      </c>
      <c r="C134" s="234"/>
      <c r="D134" s="45" t="s">
        <v>531</v>
      </c>
      <c r="E134" s="49" t="s">
        <v>135</v>
      </c>
      <c r="F134" s="162">
        <v>50</v>
      </c>
      <c r="G134" s="23" t="str">
        <f t="shared" si="128"/>
        <v/>
      </c>
      <c r="H134" s="18"/>
      <c r="I134" s="189">
        <v>1.2</v>
      </c>
      <c r="J134" s="188">
        <f t="shared" si="129"/>
        <v>0</v>
      </c>
      <c r="K134" s="185">
        <f t="shared" ref="K134:K135" si="134">+C134/1</f>
        <v>0</v>
      </c>
      <c r="L134" s="214"/>
      <c r="M134" s="214"/>
      <c r="N134" s="230">
        <f>(21*7)/1728</f>
        <v>8.5069444444444448E-2</v>
      </c>
      <c r="O134" s="232">
        <f t="shared" si="130"/>
        <v>0</v>
      </c>
      <c r="P134" s="250">
        <f t="shared" si="131"/>
        <v>0.88554216867469882</v>
      </c>
      <c r="Q134" s="249">
        <f t="shared" si="132"/>
        <v>0</v>
      </c>
    </row>
    <row r="135" spans="1:17">
      <c r="A135" s="18"/>
      <c r="B135" s="44" t="s">
        <v>529</v>
      </c>
      <c r="C135" s="234"/>
      <c r="D135" s="45" t="s">
        <v>532</v>
      </c>
      <c r="E135" s="49" t="s">
        <v>135</v>
      </c>
      <c r="F135" s="162">
        <v>50</v>
      </c>
      <c r="G135" s="23" t="str">
        <f t="shared" si="128"/>
        <v/>
      </c>
      <c r="H135" s="18"/>
      <c r="I135" s="189">
        <v>0.5</v>
      </c>
      <c r="J135" s="188">
        <f t="shared" si="129"/>
        <v>0</v>
      </c>
      <c r="K135" s="185">
        <f t="shared" si="134"/>
        <v>0</v>
      </c>
      <c r="L135" s="214"/>
      <c r="M135" s="214"/>
      <c r="N135" s="230">
        <f>(14*7)/1728</f>
        <v>5.6712962962962965E-2</v>
      </c>
      <c r="O135" s="232">
        <f t="shared" si="130"/>
        <v>0</v>
      </c>
      <c r="P135" s="250">
        <f t="shared" si="131"/>
        <v>0.59036144578313254</v>
      </c>
      <c r="Q135" s="249">
        <f t="shared" si="132"/>
        <v>0</v>
      </c>
    </row>
    <row r="136" spans="1:17">
      <c r="A136" s="18"/>
      <c r="B136" s="44" t="s">
        <v>536</v>
      </c>
      <c r="C136" s="234"/>
      <c r="D136" s="45" t="s">
        <v>554</v>
      </c>
      <c r="E136" s="49" t="s">
        <v>135</v>
      </c>
      <c r="F136" s="23">
        <v>10</v>
      </c>
      <c r="G136" s="23" t="str">
        <f t="shared" ref="G136:G140" si="135">IF(C136&gt;0,+(C136*F136),"")</f>
        <v/>
      </c>
      <c r="H136" s="18"/>
      <c r="I136" s="189">
        <v>0.21</v>
      </c>
      <c r="J136" s="188">
        <f t="shared" ref="J136:J140" si="136">+C136*I136</f>
        <v>0</v>
      </c>
      <c r="K136" s="226"/>
      <c r="L136" s="214"/>
      <c r="M136" s="214"/>
      <c r="N136" s="230">
        <f>28/1728</f>
        <v>1.6203703703703703E-2</v>
      </c>
      <c r="O136" s="232">
        <f t="shared" ref="O136:O140" si="137">+C136*N136</f>
        <v>0</v>
      </c>
      <c r="P136" s="250">
        <f t="shared" ref="P136:P156" si="138">((+N136*1728)/166)</f>
        <v>0.16867469879518071</v>
      </c>
      <c r="Q136" s="249">
        <f t="shared" ref="Q136:Q156" si="139">IF(P136&gt;I136,+P136*C136,+I136*C136)</f>
        <v>0</v>
      </c>
    </row>
    <row r="137" spans="1:17">
      <c r="A137" s="18"/>
      <c r="B137" s="44" t="s">
        <v>537</v>
      </c>
      <c r="C137" s="234"/>
      <c r="D137" s="45" t="s">
        <v>555</v>
      </c>
      <c r="E137" s="49" t="s">
        <v>135</v>
      </c>
      <c r="F137" s="162">
        <v>10</v>
      </c>
      <c r="G137" s="23" t="str">
        <f t="shared" si="135"/>
        <v/>
      </c>
      <c r="H137" s="18"/>
      <c r="I137" s="189">
        <v>0.12</v>
      </c>
      <c r="J137" s="188">
        <f t="shared" si="136"/>
        <v>0</v>
      </c>
      <c r="K137" s="226"/>
      <c r="L137" s="214"/>
      <c r="M137" s="214"/>
      <c r="N137" s="230">
        <f>21/1728</f>
        <v>1.2152777777777778E-2</v>
      </c>
      <c r="O137" s="232">
        <f t="shared" si="137"/>
        <v>0</v>
      </c>
      <c r="P137" s="250">
        <f t="shared" si="138"/>
        <v>0.12650602409638553</v>
      </c>
      <c r="Q137" s="249">
        <f t="shared" si="139"/>
        <v>0</v>
      </c>
    </row>
    <row r="138" spans="1:17">
      <c r="A138" s="18"/>
      <c r="B138" s="44" t="s">
        <v>538</v>
      </c>
      <c r="C138" s="234"/>
      <c r="D138" s="45" t="s">
        <v>556</v>
      </c>
      <c r="E138" s="49" t="s">
        <v>135</v>
      </c>
      <c r="F138" s="162">
        <v>10</v>
      </c>
      <c r="G138" s="23" t="str">
        <f t="shared" si="135"/>
        <v/>
      </c>
      <c r="H138" s="18"/>
      <c r="I138" s="189">
        <v>0.05</v>
      </c>
      <c r="J138" s="188">
        <f t="shared" si="136"/>
        <v>0</v>
      </c>
      <c r="K138" s="226"/>
      <c r="L138" s="214"/>
      <c r="M138" s="214"/>
      <c r="N138" s="230">
        <f>14/1728</f>
        <v>8.1018518518518514E-3</v>
      </c>
      <c r="O138" s="232">
        <f t="shared" si="137"/>
        <v>0</v>
      </c>
      <c r="P138" s="250">
        <f t="shared" si="138"/>
        <v>8.4337349397590355E-2</v>
      </c>
      <c r="Q138" s="249">
        <f t="shared" si="139"/>
        <v>0</v>
      </c>
    </row>
    <row r="139" spans="1:17">
      <c r="A139" s="18"/>
      <c r="B139" s="44" t="s">
        <v>539</v>
      </c>
      <c r="C139" s="234"/>
      <c r="D139" s="45" t="s">
        <v>557</v>
      </c>
      <c r="E139" s="49" t="s">
        <v>135</v>
      </c>
      <c r="F139" s="162">
        <v>10</v>
      </c>
      <c r="G139" s="23" t="str">
        <f t="shared" si="135"/>
        <v/>
      </c>
      <c r="H139" s="18"/>
      <c r="I139" s="189">
        <v>0.21</v>
      </c>
      <c r="J139" s="188">
        <f t="shared" si="136"/>
        <v>0</v>
      </c>
      <c r="K139" s="226"/>
      <c r="L139" s="214"/>
      <c r="M139" s="214"/>
      <c r="N139" s="230">
        <f>28/1728</f>
        <v>1.6203703703703703E-2</v>
      </c>
      <c r="O139" s="232">
        <f t="shared" si="137"/>
        <v>0</v>
      </c>
      <c r="P139" s="250">
        <f t="shared" si="138"/>
        <v>0.16867469879518071</v>
      </c>
      <c r="Q139" s="249">
        <f t="shared" si="139"/>
        <v>0</v>
      </c>
    </row>
    <row r="140" spans="1:17">
      <c r="A140" s="18"/>
      <c r="B140" s="44" t="s">
        <v>540</v>
      </c>
      <c r="C140" s="234"/>
      <c r="D140" s="45" t="s">
        <v>558</v>
      </c>
      <c r="E140" s="49" t="s">
        <v>135</v>
      </c>
      <c r="F140" s="162">
        <v>10</v>
      </c>
      <c r="G140" s="23" t="str">
        <f t="shared" si="135"/>
        <v/>
      </c>
      <c r="H140" s="18"/>
      <c r="I140" s="189">
        <v>0.12</v>
      </c>
      <c r="J140" s="188">
        <f t="shared" si="136"/>
        <v>0</v>
      </c>
      <c r="K140" s="226"/>
      <c r="L140" s="214"/>
      <c r="M140" s="214"/>
      <c r="N140" s="230">
        <f>21/1728</f>
        <v>1.2152777777777778E-2</v>
      </c>
      <c r="O140" s="232">
        <f t="shared" si="137"/>
        <v>0</v>
      </c>
      <c r="P140" s="250">
        <f t="shared" si="138"/>
        <v>0.12650602409638553</v>
      </c>
      <c r="Q140" s="249">
        <f t="shared" si="139"/>
        <v>0</v>
      </c>
    </row>
    <row r="141" spans="1:17">
      <c r="A141" s="18"/>
      <c r="B141" s="44" t="s">
        <v>541</v>
      </c>
      <c r="C141" s="234"/>
      <c r="D141" s="45" t="s">
        <v>559</v>
      </c>
      <c r="E141" s="49" t="s">
        <v>135</v>
      </c>
      <c r="F141" s="162">
        <v>10</v>
      </c>
      <c r="G141" s="23" t="str">
        <f t="shared" ref="G141:G165" si="140">IF(C141&gt;0,+(C141*F141),"")</f>
        <v/>
      </c>
      <c r="H141" s="18"/>
      <c r="I141" s="189">
        <v>0.05</v>
      </c>
      <c r="J141" s="188">
        <f t="shared" ref="J141:J165" si="141">+C141*I141</f>
        <v>0</v>
      </c>
      <c r="K141" s="226"/>
      <c r="L141" s="214"/>
      <c r="M141" s="214"/>
      <c r="N141" s="230">
        <f>14/1728</f>
        <v>8.1018518518518514E-3</v>
      </c>
      <c r="O141" s="232">
        <f t="shared" ref="O141:O165" si="142">+C141*N141</f>
        <v>0</v>
      </c>
      <c r="P141" s="250">
        <f t="shared" si="138"/>
        <v>8.4337349397590355E-2</v>
      </c>
      <c r="Q141" s="249">
        <f t="shared" si="139"/>
        <v>0</v>
      </c>
    </row>
    <row r="142" spans="1:17">
      <c r="A142" s="18"/>
      <c r="B142" s="44" t="s">
        <v>548</v>
      </c>
      <c r="C142" s="234"/>
      <c r="D142" s="45" t="s">
        <v>551</v>
      </c>
      <c r="E142" s="49" t="s">
        <v>135</v>
      </c>
      <c r="F142" s="162">
        <v>10</v>
      </c>
      <c r="G142" s="23" t="str">
        <f t="shared" si="140"/>
        <v/>
      </c>
      <c r="H142" s="18"/>
      <c r="I142" s="189">
        <v>0.21</v>
      </c>
      <c r="J142" s="188">
        <f t="shared" si="141"/>
        <v>0</v>
      </c>
      <c r="K142" s="226"/>
      <c r="L142" s="214"/>
      <c r="M142" s="214"/>
      <c r="N142" s="230">
        <f>28/1728</f>
        <v>1.6203703703703703E-2</v>
      </c>
      <c r="O142" s="232">
        <f t="shared" si="142"/>
        <v>0</v>
      </c>
      <c r="P142" s="250">
        <f t="shared" si="138"/>
        <v>0.16867469879518071</v>
      </c>
      <c r="Q142" s="249">
        <f t="shared" si="139"/>
        <v>0</v>
      </c>
    </row>
    <row r="143" spans="1:17">
      <c r="A143" s="18"/>
      <c r="B143" s="44" t="s">
        <v>549</v>
      </c>
      <c r="C143" s="234"/>
      <c r="D143" s="45" t="s">
        <v>552</v>
      </c>
      <c r="E143" s="49" t="s">
        <v>135</v>
      </c>
      <c r="F143" s="162">
        <v>10</v>
      </c>
      <c r="G143" s="23" t="str">
        <f t="shared" si="140"/>
        <v/>
      </c>
      <c r="H143" s="18"/>
      <c r="I143" s="189">
        <v>0.12</v>
      </c>
      <c r="J143" s="188">
        <f t="shared" si="141"/>
        <v>0</v>
      </c>
      <c r="K143" s="226"/>
      <c r="L143" s="214"/>
      <c r="M143" s="214"/>
      <c r="N143" s="230">
        <f>21/1728</f>
        <v>1.2152777777777778E-2</v>
      </c>
      <c r="O143" s="232">
        <f t="shared" si="142"/>
        <v>0</v>
      </c>
      <c r="P143" s="250">
        <f t="shared" si="138"/>
        <v>0.12650602409638553</v>
      </c>
      <c r="Q143" s="249">
        <f t="shared" si="139"/>
        <v>0</v>
      </c>
    </row>
    <row r="144" spans="1:17">
      <c r="A144" s="18"/>
      <c r="B144" s="44" t="s">
        <v>550</v>
      </c>
      <c r="C144" s="234"/>
      <c r="D144" s="45" t="s">
        <v>553</v>
      </c>
      <c r="E144" s="49" t="s">
        <v>135</v>
      </c>
      <c r="F144" s="162">
        <v>10</v>
      </c>
      <c r="G144" s="23" t="str">
        <f t="shared" si="140"/>
        <v/>
      </c>
      <c r="H144" s="18"/>
      <c r="I144" s="189">
        <v>0.05</v>
      </c>
      <c r="J144" s="188">
        <f t="shared" si="141"/>
        <v>0</v>
      </c>
      <c r="K144" s="226"/>
      <c r="L144" s="214"/>
      <c r="M144" s="214"/>
      <c r="N144" s="230">
        <f>14/1728</f>
        <v>8.1018518518518514E-3</v>
      </c>
      <c r="O144" s="232">
        <f t="shared" si="142"/>
        <v>0</v>
      </c>
      <c r="P144" s="250">
        <f t="shared" si="138"/>
        <v>8.4337349397590355E-2</v>
      </c>
      <c r="Q144" s="249">
        <f t="shared" si="139"/>
        <v>0</v>
      </c>
    </row>
    <row r="145" spans="1:17">
      <c r="A145" s="18"/>
      <c r="B145" s="44" t="s">
        <v>581</v>
      </c>
      <c r="C145" s="234"/>
      <c r="D145" s="45" t="s">
        <v>560</v>
      </c>
      <c r="E145" s="49" t="s">
        <v>135</v>
      </c>
      <c r="F145" s="162">
        <v>10</v>
      </c>
      <c r="G145" s="23" t="str">
        <f t="shared" si="140"/>
        <v/>
      </c>
      <c r="H145" s="18"/>
      <c r="I145" s="189">
        <v>0.21</v>
      </c>
      <c r="J145" s="188">
        <f t="shared" si="141"/>
        <v>0</v>
      </c>
      <c r="K145" s="226"/>
      <c r="L145" s="214"/>
      <c r="M145" s="214"/>
      <c r="N145" s="230">
        <f>28/1728</f>
        <v>1.6203703703703703E-2</v>
      </c>
      <c r="O145" s="232">
        <f t="shared" si="142"/>
        <v>0</v>
      </c>
      <c r="P145" s="250">
        <f t="shared" si="138"/>
        <v>0.16867469879518071</v>
      </c>
      <c r="Q145" s="249">
        <f t="shared" si="139"/>
        <v>0</v>
      </c>
    </row>
    <row r="146" spans="1:17">
      <c r="A146" s="18"/>
      <c r="B146" s="44" t="s">
        <v>582</v>
      </c>
      <c r="C146" s="234"/>
      <c r="D146" s="45" t="s">
        <v>561</v>
      </c>
      <c r="E146" s="49" t="s">
        <v>135</v>
      </c>
      <c r="F146" s="162">
        <v>10</v>
      </c>
      <c r="G146" s="23" t="str">
        <f t="shared" si="140"/>
        <v/>
      </c>
      <c r="H146" s="18"/>
      <c r="I146" s="189">
        <v>0.12</v>
      </c>
      <c r="J146" s="188">
        <f t="shared" si="141"/>
        <v>0</v>
      </c>
      <c r="K146" s="226"/>
      <c r="L146" s="214"/>
      <c r="M146" s="214"/>
      <c r="N146" s="230">
        <f>21/1728</f>
        <v>1.2152777777777778E-2</v>
      </c>
      <c r="O146" s="232">
        <f t="shared" si="142"/>
        <v>0</v>
      </c>
      <c r="P146" s="250">
        <f t="shared" si="138"/>
        <v>0.12650602409638553</v>
      </c>
      <c r="Q146" s="249">
        <f t="shared" si="139"/>
        <v>0</v>
      </c>
    </row>
    <row r="147" spans="1:17">
      <c r="A147" s="18"/>
      <c r="B147" s="44" t="s">
        <v>583</v>
      </c>
      <c r="C147" s="234"/>
      <c r="D147" s="45" t="s">
        <v>562</v>
      </c>
      <c r="E147" s="49" t="s">
        <v>135</v>
      </c>
      <c r="F147" s="162">
        <v>10</v>
      </c>
      <c r="G147" s="23" t="str">
        <f t="shared" si="140"/>
        <v/>
      </c>
      <c r="H147" s="18"/>
      <c r="I147" s="189">
        <v>0.05</v>
      </c>
      <c r="J147" s="188">
        <f t="shared" si="141"/>
        <v>0</v>
      </c>
      <c r="K147" s="226"/>
      <c r="L147" s="214"/>
      <c r="M147" s="214"/>
      <c r="N147" s="230">
        <f>14/1728</f>
        <v>8.1018518518518514E-3</v>
      </c>
      <c r="O147" s="232">
        <f t="shared" si="142"/>
        <v>0</v>
      </c>
      <c r="P147" s="250">
        <f t="shared" si="138"/>
        <v>8.4337349397590355E-2</v>
      </c>
      <c r="Q147" s="249">
        <f t="shared" si="139"/>
        <v>0</v>
      </c>
    </row>
    <row r="148" spans="1:17">
      <c r="A148" s="18"/>
      <c r="B148" s="44" t="s">
        <v>584</v>
      </c>
      <c r="C148" s="234"/>
      <c r="D148" s="45" t="s">
        <v>563</v>
      </c>
      <c r="E148" s="49" t="s">
        <v>135</v>
      </c>
      <c r="F148" s="162">
        <v>10</v>
      </c>
      <c r="G148" s="23" t="str">
        <f t="shared" si="140"/>
        <v/>
      </c>
      <c r="H148" s="18"/>
      <c r="I148" s="189">
        <v>0.21</v>
      </c>
      <c r="J148" s="188">
        <f t="shared" si="141"/>
        <v>0</v>
      </c>
      <c r="K148" s="226"/>
      <c r="L148" s="214"/>
      <c r="M148" s="214"/>
      <c r="N148" s="230">
        <f>28/1728</f>
        <v>1.6203703703703703E-2</v>
      </c>
      <c r="O148" s="232">
        <f t="shared" si="142"/>
        <v>0</v>
      </c>
      <c r="P148" s="250">
        <f t="shared" si="138"/>
        <v>0.16867469879518071</v>
      </c>
      <c r="Q148" s="249">
        <f t="shared" si="139"/>
        <v>0</v>
      </c>
    </row>
    <row r="149" spans="1:17">
      <c r="A149" s="18"/>
      <c r="B149" s="44" t="s">
        <v>585</v>
      </c>
      <c r="C149" s="234"/>
      <c r="D149" s="45" t="s">
        <v>564</v>
      </c>
      <c r="E149" s="49" t="s">
        <v>135</v>
      </c>
      <c r="F149" s="162">
        <v>10</v>
      </c>
      <c r="G149" s="23" t="str">
        <f t="shared" si="140"/>
        <v/>
      </c>
      <c r="H149" s="18"/>
      <c r="I149" s="189">
        <v>0.12</v>
      </c>
      <c r="J149" s="188">
        <f t="shared" si="141"/>
        <v>0</v>
      </c>
      <c r="K149" s="226"/>
      <c r="L149" s="214"/>
      <c r="M149" s="214"/>
      <c r="N149" s="230">
        <f>21/1728</f>
        <v>1.2152777777777778E-2</v>
      </c>
      <c r="O149" s="232">
        <f t="shared" si="142"/>
        <v>0</v>
      </c>
      <c r="P149" s="250">
        <f t="shared" si="138"/>
        <v>0.12650602409638553</v>
      </c>
      <c r="Q149" s="249">
        <f t="shared" si="139"/>
        <v>0</v>
      </c>
    </row>
    <row r="150" spans="1:17">
      <c r="A150" s="18"/>
      <c r="B150" s="44" t="s">
        <v>586</v>
      </c>
      <c r="C150" s="234"/>
      <c r="D150" s="45" t="s">
        <v>565</v>
      </c>
      <c r="E150" s="49" t="s">
        <v>135</v>
      </c>
      <c r="F150" s="162">
        <v>10</v>
      </c>
      <c r="G150" s="23" t="str">
        <f t="shared" si="140"/>
        <v/>
      </c>
      <c r="H150" s="18"/>
      <c r="I150" s="189">
        <v>0.05</v>
      </c>
      <c r="J150" s="188">
        <f t="shared" si="141"/>
        <v>0</v>
      </c>
      <c r="K150" s="226"/>
      <c r="L150" s="214"/>
      <c r="M150" s="214"/>
      <c r="N150" s="230">
        <f>14/1728</f>
        <v>8.1018518518518514E-3</v>
      </c>
      <c r="O150" s="232">
        <f t="shared" si="142"/>
        <v>0</v>
      </c>
      <c r="P150" s="250">
        <f t="shared" si="138"/>
        <v>8.4337349397590355E-2</v>
      </c>
      <c r="Q150" s="249">
        <f t="shared" si="139"/>
        <v>0</v>
      </c>
    </row>
    <row r="151" spans="1:17">
      <c r="A151" s="18"/>
      <c r="B151" s="44" t="s">
        <v>587</v>
      </c>
      <c r="C151" s="234"/>
      <c r="D151" s="45" t="s">
        <v>566</v>
      </c>
      <c r="E151" s="49" t="s">
        <v>135</v>
      </c>
      <c r="F151" s="162">
        <v>10</v>
      </c>
      <c r="G151" s="23" t="str">
        <f t="shared" si="140"/>
        <v/>
      </c>
      <c r="H151" s="18"/>
      <c r="I151" s="189">
        <v>0.21</v>
      </c>
      <c r="J151" s="188">
        <f t="shared" si="141"/>
        <v>0</v>
      </c>
      <c r="K151" s="226"/>
      <c r="L151" s="214"/>
      <c r="M151" s="214"/>
      <c r="N151" s="230">
        <f>28/1728</f>
        <v>1.6203703703703703E-2</v>
      </c>
      <c r="O151" s="232">
        <f t="shared" si="142"/>
        <v>0</v>
      </c>
      <c r="P151" s="250">
        <f t="shared" si="138"/>
        <v>0.16867469879518071</v>
      </c>
      <c r="Q151" s="249">
        <f t="shared" si="139"/>
        <v>0</v>
      </c>
    </row>
    <row r="152" spans="1:17">
      <c r="A152" s="18"/>
      <c r="B152" s="44" t="s">
        <v>588</v>
      </c>
      <c r="C152" s="234"/>
      <c r="D152" s="45" t="s">
        <v>567</v>
      </c>
      <c r="E152" s="49" t="s">
        <v>135</v>
      </c>
      <c r="F152" s="162">
        <v>10</v>
      </c>
      <c r="G152" s="23" t="str">
        <f t="shared" si="140"/>
        <v/>
      </c>
      <c r="H152" s="18"/>
      <c r="I152" s="189">
        <v>0.12</v>
      </c>
      <c r="J152" s="188">
        <f t="shared" si="141"/>
        <v>0</v>
      </c>
      <c r="K152" s="226"/>
      <c r="L152" s="214"/>
      <c r="M152" s="214"/>
      <c r="N152" s="230">
        <f>21/1728</f>
        <v>1.2152777777777778E-2</v>
      </c>
      <c r="O152" s="232">
        <f t="shared" si="142"/>
        <v>0</v>
      </c>
      <c r="P152" s="250">
        <f t="shared" si="138"/>
        <v>0.12650602409638553</v>
      </c>
      <c r="Q152" s="249">
        <f t="shared" si="139"/>
        <v>0</v>
      </c>
    </row>
    <row r="153" spans="1:17">
      <c r="A153" s="18"/>
      <c r="B153" s="44" t="s">
        <v>589</v>
      </c>
      <c r="C153" s="234"/>
      <c r="D153" s="45" t="s">
        <v>568</v>
      </c>
      <c r="E153" s="49" t="s">
        <v>135</v>
      </c>
      <c r="F153" s="162">
        <v>10</v>
      </c>
      <c r="G153" s="23" t="str">
        <f t="shared" si="140"/>
        <v/>
      </c>
      <c r="H153" s="18"/>
      <c r="I153" s="189">
        <v>0.05</v>
      </c>
      <c r="J153" s="188">
        <f t="shared" si="141"/>
        <v>0</v>
      </c>
      <c r="K153" s="226"/>
      <c r="L153" s="214"/>
      <c r="M153" s="214"/>
      <c r="N153" s="230">
        <f>14/1728</f>
        <v>8.1018518518518514E-3</v>
      </c>
      <c r="O153" s="232">
        <f t="shared" si="142"/>
        <v>0</v>
      </c>
      <c r="P153" s="250">
        <f t="shared" si="138"/>
        <v>8.4337349397590355E-2</v>
      </c>
      <c r="Q153" s="249">
        <f t="shared" si="139"/>
        <v>0</v>
      </c>
    </row>
    <row r="154" spans="1:17">
      <c r="A154" s="18"/>
      <c r="B154" s="44" t="s">
        <v>590</v>
      </c>
      <c r="C154" s="234"/>
      <c r="D154" s="45" t="s">
        <v>569</v>
      </c>
      <c r="E154" s="49" t="s">
        <v>135</v>
      </c>
      <c r="F154" s="162">
        <v>10</v>
      </c>
      <c r="G154" s="23" t="str">
        <f t="shared" si="140"/>
        <v/>
      </c>
      <c r="H154" s="18"/>
      <c r="I154" s="189">
        <v>0.21</v>
      </c>
      <c r="J154" s="188">
        <f t="shared" si="141"/>
        <v>0</v>
      </c>
      <c r="K154" s="226"/>
      <c r="L154" s="214"/>
      <c r="M154" s="214"/>
      <c r="N154" s="230">
        <f>28/1728</f>
        <v>1.6203703703703703E-2</v>
      </c>
      <c r="O154" s="232">
        <f t="shared" si="142"/>
        <v>0</v>
      </c>
      <c r="P154" s="250">
        <f t="shared" si="138"/>
        <v>0.16867469879518071</v>
      </c>
      <c r="Q154" s="249">
        <f t="shared" si="139"/>
        <v>0</v>
      </c>
    </row>
    <row r="155" spans="1:17">
      <c r="A155" s="18"/>
      <c r="B155" s="44" t="s">
        <v>591</v>
      </c>
      <c r="C155" s="234"/>
      <c r="D155" s="45" t="s">
        <v>570</v>
      </c>
      <c r="E155" s="49" t="s">
        <v>135</v>
      </c>
      <c r="F155" s="162">
        <v>10</v>
      </c>
      <c r="G155" s="23" t="str">
        <f t="shared" si="140"/>
        <v/>
      </c>
      <c r="H155" s="18"/>
      <c r="I155" s="189">
        <v>0.12</v>
      </c>
      <c r="J155" s="188">
        <f t="shared" si="141"/>
        <v>0</v>
      </c>
      <c r="K155" s="226"/>
      <c r="L155" s="214"/>
      <c r="M155" s="214"/>
      <c r="N155" s="230">
        <f>21/1728</f>
        <v>1.2152777777777778E-2</v>
      </c>
      <c r="O155" s="232">
        <f t="shared" si="142"/>
        <v>0</v>
      </c>
      <c r="P155" s="250">
        <f t="shared" si="138"/>
        <v>0.12650602409638553</v>
      </c>
      <c r="Q155" s="249">
        <f t="shared" si="139"/>
        <v>0</v>
      </c>
    </row>
    <row r="156" spans="1:17">
      <c r="A156" s="18"/>
      <c r="B156" s="44" t="s">
        <v>592</v>
      </c>
      <c r="C156" s="234"/>
      <c r="D156" s="45" t="s">
        <v>571</v>
      </c>
      <c r="E156" s="49" t="s">
        <v>135</v>
      </c>
      <c r="F156" s="162">
        <v>10</v>
      </c>
      <c r="G156" s="23" t="str">
        <f t="shared" si="140"/>
        <v/>
      </c>
      <c r="H156" s="18"/>
      <c r="I156" s="189">
        <v>0.05</v>
      </c>
      <c r="J156" s="188">
        <f t="shared" si="141"/>
        <v>0</v>
      </c>
      <c r="K156" s="226"/>
      <c r="L156" s="214"/>
      <c r="M156" s="214"/>
      <c r="N156" s="230">
        <f>14/1728</f>
        <v>8.1018518518518514E-3</v>
      </c>
      <c r="O156" s="232">
        <f t="shared" si="142"/>
        <v>0</v>
      </c>
      <c r="P156" s="250">
        <f t="shared" si="138"/>
        <v>8.4337349397590355E-2</v>
      </c>
      <c r="Q156" s="249">
        <f t="shared" si="139"/>
        <v>0</v>
      </c>
    </row>
    <row r="157" spans="1:17">
      <c r="A157" s="18"/>
      <c r="B157" s="44" t="s">
        <v>593</v>
      </c>
      <c r="C157" s="234"/>
      <c r="D157" s="45" t="s">
        <v>572</v>
      </c>
      <c r="E157" s="49" t="s">
        <v>135</v>
      </c>
      <c r="F157" s="162">
        <v>10</v>
      </c>
      <c r="G157" s="23" t="str">
        <f t="shared" si="140"/>
        <v/>
      </c>
      <c r="H157" s="18"/>
      <c r="I157" s="189">
        <v>0.21</v>
      </c>
      <c r="J157" s="188">
        <f t="shared" si="141"/>
        <v>0</v>
      </c>
      <c r="K157" s="226"/>
      <c r="L157" s="214"/>
      <c r="M157" s="214"/>
      <c r="N157" s="230">
        <f>28/1728</f>
        <v>1.6203703703703703E-2</v>
      </c>
      <c r="O157" s="232">
        <f t="shared" si="142"/>
        <v>0</v>
      </c>
      <c r="P157" s="250">
        <f t="shared" ref="P157:P165" si="143">((+N157*1728)/166)</f>
        <v>0.16867469879518071</v>
      </c>
      <c r="Q157" s="249">
        <f t="shared" ref="Q157:Q165" si="144">IF(P157&gt;I157,+P157*C157,+I157*C157)</f>
        <v>0</v>
      </c>
    </row>
    <row r="158" spans="1:17">
      <c r="A158" s="18"/>
      <c r="B158" s="44" t="s">
        <v>594</v>
      </c>
      <c r="C158" s="234"/>
      <c r="D158" s="45" t="s">
        <v>573</v>
      </c>
      <c r="E158" s="49" t="s">
        <v>135</v>
      </c>
      <c r="F158" s="162">
        <v>10</v>
      </c>
      <c r="G158" s="23" t="str">
        <f t="shared" si="140"/>
        <v/>
      </c>
      <c r="H158" s="18"/>
      <c r="I158" s="189">
        <v>0.12</v>
      </c>
      <c r="J158" s="188">
        <f t="shared" si="141"/>
        <v>0</v>
      </c>
      <c r="K158" s="226"/>
      <c r="L158" s="214"/>
      <c r="M158" s="214"/>
      <c r="N158" s="230">
        <f>21/1728</f>
        <v>1.2152777777777778E-2</v>
      </c>
      <c r="O158" s="232">
        <f t="shared" si="142"/>
        <v>0</v>
      </c>
      <c r="P158" s="250">
        <f t="shared" si="143"/>
        <v>0.12650602409638553</v>
      </c>
      <c r="Q158" s="249">
        <f t="shared" si="144"/>
        <v>0</v>
      </c>
    </row>
    <row r="159" spans="1:17">
      <c r="A159" s="18"/>
      <c r="B159" s="44" t="s">
        <v>595</v>
      </c>
      <c r="C159" s="234"/>
      <c r="D159" s="45" t="s">
        <v>574</v>
      </c>
      <c r="E159" s="49" t="s">
        <v>135</v>
      </c>
      <c r="F159" s="162">
        <v>10</v>
      </c>
      <c r="G159" s="23" t="str">
        <f t="shared" si="140"/>
        <v/>
      </c>
      <c r="H159" s="18"/>
      <c r="I159" s="189">
        <v>0.05</v>
      </c>
      <c r="J159" s="188">
        <f t="shared" si="141"/>
        <v>0</v>
      </c>
      <c r="K159" s="226"/>
      <c r="L159" s="214"/>
      <c r="M159" s="214"/>
      <c r="N159" s="230">
        <f>14/1728</f>
        <v>8.1018518518518514E-3</v>
      </c>
      <c r="O159" s="232">
        <f t="shared" si="142"/>
        <v>0</v>
      </c>
      <c r="P159" s="250">
        <f t="shared" si="143"/>
        <v>8.4337349397590355E-2</v>
      </c>
      <c r="Q159" s="249">
        <f t="shared" si="144"/>
        <v>0</v>
      </c>
    </row>
    <row r="160" spans="1:17">
      <c r="A160" s="18"/>
      <c r="B160" s="44" t="s">
        <v>596</v>
      </c>
      <c r="C160" s="234"/>
      <c r="D160" s="45" t="s">
        <v>575</v>
      </c>
      <c r="E160" s="49" t="s">
        <v>135</v>
      </c>
      <c r="F160" s="162">
        <v>10</v>
      </c>
      <c r="G160" s="23" t="str">
        <f t="shared" si="140"/>
        <v/>
      </c>
      <c r="H160" s="18"/>
      <c r="I160" s="189">
        <v>0.21</v>
      </c>
      <c r="J160" s="188">
        <f t="shared" si="141"/>
        <v>0</v>
      </c>
      <c r="K160" s="226"/>
      <c r="L160" s="214"/>
      <c r="M160" s="214"/>
      <c r="N160" s="230">
        <f>28/1728</f>
        <v>1.6203703703703703E-2</v>
      </c>
      <c r="O160" s="232">
        <f t="shared" si="142"/>
        <v>0</v>
      </c>
      <c r="P160" s="250">
        <f t="shared" si="143"/>
        <v>0.16867469879518071</v>
      </c>
      <c r="Q160" s="249">
        <f t="shared" si="144"/>
        <v>0</v>
      </c>
    </row>
    <row r="161" spans="1:17">
      <c r="A161" s="18"/>
      <c r="B161" s="44" t="s">
        <v>597</v>
      </c>
      <c r="C161" s="234"/>
      <c r="D161" s="45" t="s">
        <v>576</v>
      </c>
      <c r="E161" s="49" t="s">
        <v>135</v>
      </c>
      <c r="F161" s="162">
        <v>10</v>
      </c>
      <c r="G161" s="23" t="str">
        <f t="shared" si="140"/>
        <v/>
      </c>
      <c r="H161" s="18"/>
      <c r="I161" s="189">
        <v>0.12</v>
      </c>
      <c r="J161" s="188">
        <f t="shared" si="141"/>
        <v>0</v>
      </c>
      <c r="K161" s="226"/>
      <c r="L161" s="214"/>
      <c r="M161" s="214"/>
      <c r="N161" s="230">
        <f>21/1728</f>
        <v>1.2152777777777778E-2</v>
      </c>
      <c r="O161" s="232">
        <f t="shared" si="142"/>
        <v>0</v>
      </c>
      <c r="P161" s="250">
        <f t="shared" si="143"/>
        <v>0.12650602409638553</v>
      </c>
      <c r="Q161" s="249">
        <f t="shared" si="144"/>
        <v>0</v>
      </c>
    </row>
    <row r="162" spans="1:17">
      <c r="A162" s="18"/>
      <c r="B162" s="44" t="s">
        <v>598</v>
      </c>
      <c r="C162" s="234"/>
      <c r="D162" s="45" t="s">
        <v>577</v>
      </c>
      <c r="E162" s="49" t="s">
        <v>135</v>
      </c>
      <c r="F162" s="162">
        <v>10</v>
      </c>
      <c r="G162" s="23" t="str">
        <f t="shared" si="140"/>
        <v/>
      </c>
      <c r="H162" s="18"/>
      <c r="I162" s="189">
        <v>0.05</v>
      </c>
      <c r="J162" s="188">
        <f t="shared" si="141"/>
        <v>0</v>
      </c>
      <c r="K162" s="226"/>
      <c r="L162" s="214"/>
      <c r="M162" s="214"/>
      <c r="N162" s="230">
        <f>14/1728</f>
        <v>8.1018518518518514E-3</v>
      </c>
      <c r="O162" s="232">
        <f t="shared" si="142"/>
        <v>0</v>
      </c>
      <c r="P162" s="250">
        <f t="shared" si="143"/>
        <v>8.4337349397590355E-2</v>
      </c>
      <c r="Q162" s="249">
        <f t="shared" si="144"/>
        <v>0</v>
      </c>
    </row>
    <row r="163" spans="1:17">
      <c r="A163" s="18"/>
      <c r="B163" s="44" t="s">
        <v>599</v>
      </c>
      <c r="C163" s="234"/>
      <c r="D163" s="45" t="s">
        <v>578</v>
      </c>
      <c r="E163" s="49" t="s">
        <v>135</v>
      </c>
      <c r="F163" s="162">
        <v>10</v>
      </c>
      <c r="G163" s="23" t="str">
        <f t="shared" si="140"/>
        <v/>
      </c>
      <c r="H163" s="18"/>
      <c r="I163" s="189">
        <v>0.21</v>
      </c>
      <c r="J163" s="188">
        <f t="shared" si="141"/>
        <v>0</v>
      </c>
      <c r="K163" s="226"/>
      <c r="L163" s="214"/>
      <c r="M163" s="214"/>
      <c r="N163" s="230">
        <f>28/1728</f>
        <v>1.6203703703703703E-2</v>
      </c>
      <c r="O163" s="232">
        <f t="shared" si="142"/>
        <v>0</v>
      </c>
      <c r="P163" s="250">
        <f t="shared" si="143"/>
        <v>0.16867469879518071</v>
      </c>
      <c r="Q163" s="249">
        <f t="shared" si="144"/>
        <v>0</v>
      </c>
    </row>
    <row r="164" spans="1:17">
      <c r="A164" s="18"/>
      <c r="B164" s="44" t="s">
        <v>600</v>
      </c>
      <c r="C164" s="234"/>
      <c r="D164" s="45" t="s">
        <v>579</v>
      </c>
      <c r="E164" s="49" t="s">
        <v>135</v>
      </c>
      <c r="F164" s="162">
        <v>10</v>
      </c>
      <c r="G164" s="23" t="str">
        <f t="shared" si="140"/>
        <v/>
      </c>
      <c r="H164" s="18"/>
      <c r="I164" s="189">
        <v>0.12</v>
      </c>
      <c r="J164" s="188">
        <f t="shared" si="141"/>
        <v>0</v>
      </c>
      <c r="K164" s="226"/>
      <c r="L164" s="214"/>
      <c r="M164" s="214"/>
      <c r="N164" s="230">
        <f>21/1728</f>
        <v>1.2152777777777778E-2</v>
      </c>
      <c r="O164" s="232">
        <f t="shared" si="142"/>
        <v>0</v>
      </c>
      <c r="P164" s="250">
        <f t="shared" si="143"/>
        <v>0.12650602409638553</v>
      </c>
      <c r="Q164" s="249">
        <f t="shared" si="144"/>
        <v>0</v>
      </c>
    </row>
    <row r="165" spans="1:17">
      <c r="A165" s="18"/>
      <c r="B165" s="44" t="s">
        <v>601</v>
      </c>
      <c r="C165" s="234"/>
      <c r="D165" s="45" t="s">
        <v>580</v>
      </c>
      <c r="E165" s="49" t="s">
        <v>135</v>
      </c>
      <c r="F165" s="162">
        <v>10</v>
      </c>
      <c r="G165" s="23" t="str">
        <f t="shared" si="140"/>
        <v/>
      </c>
      <c r="H165" s="18"/>
      <c r="I165" s="189">
        <v>0.05</v>
      </c>
      <c r="J165" s="188">
        <f t="shared" si="141"/>
        <v>0</v>
      </c>
      <c r="K165" s="226"/>
      <c r="L165" s="214"/>
      <c r="M165" s="214"/>
      <c r="N165" s="230">
        <f>14/1728</f>
        <v>8.1018518518518514E-3</v>
      </c>
      <c r="O165" s="232">
        <f t="shared" si="142"/>
        <v>0</v>
      </c>
      <c r="P165" s="250">
        <f t="shared" si="143"/>
        <v>8.4337349397590355E-2</v>
      </c>
      <c r="Q165" s="249">
        <f t="shared" si="144"/>
        <v>0</v>
      </c>
    </row>
    <row r="166" spans="1:17">
      <c r="A166" s="18"/>
      <c r="B166" s="44" t="s">
        <v>542</v>
      </c>
      <c r="C166" s="234"/>
      <c r="D166" s="45" t="s">
        <v>545</v>
      </c>
      <c r="E166" s="49" t="s">
        <v>135</v>
      </c>
      <c r="F166" s="162">
        <v>10</v>
      </c>
      <c r="G166" s="23" t="str">
        <f t="shared" ref="G166:G167" si="145">IF(C166&gt;0,+(C166*F166),"")</f>
        <v/>
      </c>
      <c r="H166" s="18"/>
      <c r="I166" s="189">
        <v>0.21</v>
      </c>
      <c r="J166" s="188">
        <f t="shared" ref="J166:J167" si="146">+C166*I166</f>
        <v>0</v>
      </c>
      <c r="K166" s="226"/>
      <c r="L166" s="214"/>
      <c r="M166" s="214"/>
      <c r="N166" s="230">
        <f>28/1728</f>
        <v>1.6203703703703703E-2</v>
      </c>
      <c r="O166" s="232">
        <f t="shared" ref="O166:O167" si="147">+C166*N166</f>
        <v>0</v>
      </c>
      <c r="P166" s="250">
        <f t="shared" ref="P166:P167" si="148">((+N166*1728)/166)</f>
        <v>0.16867469879518071</v>
      </c>
      <c r="Q166" s="249">
        <f t="shared" ref="Q166:Q167" si="149">IF(P166&gt;I166,+P166*C166,+I166*C166)</f>
        <v>0</v>
      </c>
    </row>
    <row r="167" spans="1:17">
      <c r="A167" s="18"/>
      <c r="B167" s="44" t="s">
        <v>543</v>
      </c>
      <c r="C167" s="234"/>
      <c r="D167" s="45" t="s">
        <v>546</v>
      </c>
      <c r="E167" s="49" t="s">
        <v>135</v>
      </c>
      <c r="F167" s="162">
        <v>10</v>
      </c>
      <c r="G167" s="23" t="str">
        <f t="shared" si="145"/>
        <v/>
      </c>
      <c r="H167" s="18"/>
      <c r="I167" s="189">
        <v>0.12</v>
      </c>
      <c r="J167" s="188">
        <f t="shared" si="146"/>
        <v>0</v>
      </c>
      <c r="K167" s="226"/>
      <c r="L167" s="214"/>
      <c r="M167" s="214"/>
      <c r="N167" s="230">
        <f>21/1728</f>
        <v>1.2152777777777778E-2</v>
      </c>
      <c r="O167" s="232">
        <f t="shared" si="147"/>
        <v>0</v>
      </c>
      <c r="P167" s="250">
        <f t="shared" si="148"/>
        <v>0.12650602409638553</v>
      </c>
      <c r="Q167" s="249">
        <f t="shared" si="149"/>
        <v>0</v>
      </c>
    </row>
    <row r="168" spans="1:17">
      <c r="A168" s="18"/>
      <c r="B168" s="44" t="s">
        <v>544</v>
      </c>
      <c r="C168" s="234"/>
      <c r="D168" s="45" t="s">
        <v>547</v>
      </c>
      <c r="E168" s="49" t="s">
        <v>135</v>
      </c>
      <c r="F168" s="162">
        <v>10</v>
      </c>
      <c r="G168" s="23" t="str">
        <f t="shared" ref="G168:G181" si="150">IF(C168&gt;0,+(C168*F168),"")</f>
        <v/>
      </c>
      <c r="H168" s="18"/>
      <c r="I168" s="189">
        <v>0.05</v>
      </c>
      <c r="J168" s="188">
        <f t="shared" ref="J168:J178" si="151">+C168*I168</f>
        <v>0</v>
      </c>
      <c r="K168" s="226"/>
      <c r="L168" s="214"/>
      <c r="M168" s="214"/>
      <c r="N168" s="230">
        <f>14/1728</f>
        <v>8.1018518518518514E-3</v>
      </c>
      <c r="O168" s="232">
        <f t="shared" ref="O168:O178" si="152">+C168*N168</f>
        <v>0</v>
      </c>
      <c r="P168" s="250">
        <f t="shared" ref="P168:P178" si="153">((+N168*1728)/166)</f>
        <v>8.4337349397590355E-2</v>
      </c>
      <c r="Q168" s="249">
        <f t="shared" ref="Q168:Q178" si="154">IF(P168&gt;I168,+P168*C168,+I168*C168)</f>
        <v>0</v>
      </c>
    </row>
    <row r="169" spans="1:17">
      <c r="A169" s="18"/>
      <c r="B169" s="44" t="s">
        <v>620</v>
      </c>
      <c r="C169" s="234"/>
      <c r="D169" s="45" t="s">
        <v>626</v>
      </c>
      <c r="E169" s="49" t="s">
        <v>135</v>
      </c>
      <c r="F169" s="22">
        <v>12.48</v>
      </c>
      <c r="G169" s="23" t="str">
        <f t="shared" si="150"/>
        <v/>
      </c>
      <c r="H169" s="18"/>
      <c r="I169" s="189">
        <v>0.1</v>
      </c>
      <c r="J169" s="188">
        <f t="shared" si="151"/>
        <v>0</v>
      </c>
      <c r="K169" s="226"/>
      <c r="L169" s="214"/>
      <c r="M169" s="214"/>
      <c r="N169" s="230">
        <f>24/1728</f>
        <v>1.3888888888888888E-2</v>
      </c>
      <c r="O169" s="232">
        <f t="shared" si="152"/>
        <v>0</v>
      </c>
      <c r="P169" s="250">
        <f t="shared" si="153"/>
        <v>0.14457831325301204</v>
      </c>
      <c r="Q169" s="249">
        <f t="shared" si="154"/>
        <v>0</v>
      </c>
    </row>
    <row r="170" spans="1:17">
      <c r="A170" s="18"/>
      <c r="B170" s="245" t="s">
        <v>621</v>
      </c>
      <c r="C170" s="234"/>
      <c r="D170" s="246" t="s">
        <v>635</v>
      </c>
      <c r="E170" s="49" t="s">
        <v>135</v>
      </c>
      <c r="F170" s="22">
        <v>26</v>
      </c>
      <c r="G170" s="23" t="str">
        <f t="shared" si="150"/>
        <v/>
      </c>
      <c r="H170" s="18"/>
      <c r="I170" s="189">
        <v>0.16</v>
      </c>
      <c r="J170" s="188">
        <f t="shared" si="151"/>
        <v>0</v>
      </c>
      <c r="K170" s="226"/>
      <c r="L170" s="214"/>
      <c r="M170" s="214"/>
      <c r="N170" s="230">
        <f>24/1728</f>
        <v>1.3888888888888888E-2</v>
      </c>
      <c r="O170" s="232">
        <f t="shared" si="152"/>
        <v>0</v>
      </c>
      <c r="P170" s="250">
        <f t="shared" si="153"/>
        <v>0.14457831325301204</v>
      </c>
      <c r="Q170" s="249">
        <f t="shared" si="154"/>
        <v>0</v>
      </c>
    </row>
    <row r="171" spans="1:17">
      <c r="A171" s="18"/>
      <c r="B171" s="245" t="s">
        <v>622</v>
      </c>
      <c r="C171" s="234"/>
      <c r="D171" s="246" t="s">
        <v>627</v>
      </c>
      <c r="E171" s="49" t="s">
        <v>135</v>
      </c>
      <c r="F171" s="22">
        <v>46.8</v>
      </c>
      <c r="G171" s="23" t="str">
        <f t="shared" si="150"/>
        <v/>
      </c>
      <c r="H171" s="18"/>
      <c r="I171" s="189">
        <v>0.24</v>
      </c>
      <c r="J171" s="188">
        <f t="shared" si="151"/>
        <v>0</v>
      </c>
      <c r="K171" s="226"/>
      <c r="L171" s="214"/>
      <c r="M171" s="214"/>
      <c r="N171" s="230">
        <f>30/1728</f>
        <v>1.7361111111111112E-2</v>
      </c>
      <c r="O171" s="232">
        <f t="shared" si="152"/>
        <v>0</v>
      </c>
      <c r="P171" s="250">
        <f t="shared" si="153"/>
        <v>0.18072289156626506</v>
      </c>
      <c r="Q171" s="249">
        <f t="shared" si="154"/>
        <v>0</v>
      </c>
    </row>
    <row r="172" spans="1:17">
      <c r="A172" s="18"/>
      <c r="B172" s="245" t="s">
        <v>623</v>
      </c>
      <c r="C172" s="234"/>
      <c r="D172" s="246" t="s">
        <v>628</v>
      </c>
      <c r="E172" s="49" t="s">
        <v>135</v>
      </c>
      <c r="F172" s="22">
        <v>18.72</v>
      </c>
      <c r="G172" s="23" t="str">
        <f t="shared" si="150"/>
        <v/>
      </c>
      <c r="H172" s="18"/>
      <c r="I172" s="189">
        <v>0.1</v>
      </c>
      <c r="J172" s="188">
        <f t="shared" si="151"/>
        <v>0</v>
      </c>
      <c r="K172" s="226"/>
      <c r="L172" s="214"/>
      <c r="M172" s="214"/>
      <c r="N172" s="230">
        <f>24/1728</f>
        <v>1.3888888888888888E-2</v>
      </c>
      <c r="O172" s="232">
        <f t="shared" si="152"/>
        <v>0</v>
      </c>
      <c r="P172" s="250">
        <f t="shared" si="153"/>
        <v>0.14457831325301204</v>
      </c>
      <c r="Q172" s="249">
        <f t="shared" si="154"/>
        <v>0</v>
      </c>
    </row>
    <row r="173" spans="1:17">
      <c r="A173" s="18"/>
      <c r="B173" s="245" t="s">
        <v>624</v>
      </c>
      <c r="C173" s="234"/>
      <c r="D173" s="246" t="s">
        <v>629</v>
      </c>
      <c r="E173" s="49" t="s">
        <v>135</v>
      </c>
      <c r="F173" s="22">
        <v>28.08</v>
      </c>
      <c r="G173" s="23" t="str">
        <f t="shared" si="150"/>
        <v/>
      </c>
      <c r="H173" s="18"/>
      <c r="I173" s="189">
        <v>0.16</v>
      </c>
      <c r="J173" s="188">
        <f t="shared" si="151"/>
        <v>0</v>
      </c>
      <c r="K173" s="226"/>
      <c r="L173" s="214"/>
      <c r="M173" s="214"/>
      <c r="N173" s="230">
        <f>24/1728</f>
        <v>1.3888888888888888E-2</v>
      </c>
      <c r="O173" s="232">
        <f t="shared" si="152"/>
        <v>0</v>
      </c>
      <c r="P173" s="250">
        <f t="shared" si="153"/>
        <v>0.14457831325301204</v>
      </c>
      <c r="Q173" s="249">
        <f t="shared" si="154"/>
        <v>0</v>
      </c>
    </row>
    <row r="174" spans="1:17">
      <c r="A174" s="18"/>
      <c r="B174" s="245" t="s">
        <v>625</v>
      </c>
      <c r="C174" s="234"/>
      <c r="D174" s="246" t="s">
        <v>630</v>
      </c>
      <c r="E174" s="49" t="s">
        <v>135</v>
      </c>
      <c r="F174" s="22">
        <v>46.8</v>
      </c>
      <c r="G174" s="23" t="str">
        <f t="shared" si="150"/>
        <v/>
      </c>
      <c r="H174" s="18"/>
      <c r="I174" s="189">
        <v>0.24</v>
      </c>
      <c r="J174" s="188">
        <f t="shared" si="151"/>
        <v>0</v>
      </c>
      <c r="K174" s="226"/>
      <c r="L174" s="214"/>
      <c r="M174" s="214"/>
      <c r="N174" s="230">
        <f>30/1728</f>
        <v>1.7361111111111112E-2</v>
      </c>
      <c r="O174" s="232">
        <f t="shared" si="152"/>
        <v>0</v>
      </c>
      <c r="P174" s="250">
        <f t="shared" si="153"/>
        <v>0.18072289156626506</v>
      </c>
      <c r="Q174" s="249">
        <f t="shared" si="154"/>
        <v>0</v>
      </c>
    </row>
    <row r="175" spans="1:17">
      <c r="A175" s="18"/>
      <c r="B175" s="245" t="s">
        <v>430</v>
      </c>
      <c r="C175" s="234"/>
      <c r="D175" s="246" t="s">
        <v>631</v>
      </c>
      <c r="E175" s="49" t="s">
        <v>135</v>
      </c>
      <c r="F175" s="22">
        <v>15.6</v>
      </c>
      <c r="G175" s="23" t="str">
        <f t="shared" si="150"/>
        <v/>
      </c>
      <c r="H175" s="18"/>
      <c r="I175" s="189">
        <v>0.1</v>
      </c>
      <c r="J175" s="188">
        <f t="shared" si="151"/>
        <v>0</v>
      </c>
      <c r="K175" s="226"/>
      <c r="L175" s="214"/>
      <c r="M175" s="214"/>
      <c r="N175" s="230">
        <f>24/1728</f>
        <v>1.3888888888888888E-2</v>
      </c>
      <c r="O175" s="232">
        <f t="shared" si="152"/>
        <v>0</v>
      </c>
      <c r="P175" s="250">
        <f t="shared" si="153"/>
        <v>0.14457831325301204</v>
      </c>
      <c r="Q175" s="249">
        <f t="shared" si="154"/>
        <v>0</v>
      </c>
    </row>
    <row r="176" spans="1:17">
      <c r="A176" s="18"/>
      <c r="B176" s="245" t="s">
        <v>431</v>
      </c>
      <c r="C176" s="234"/>
      <c r="D176" s="246" t="s">
        <v>632</v>
      </c>
      <c r="E176" s="49" t="s">
        <v>135</v>
      </c>
      <c r="F176" s="22">
        <v>34.32</v>
      </c>
      <c r="G176" s="23" t="str">
        <f t="shared" si="150"/>
        <v/>
      </c>
      <c r="H176" s="18"/>
      <c r="I176" s="189">
        <v>0.16</v>
      </c>
      <c r="J176" s="188">
        <f t="shared" si="151"/>
        <v>0</v>
      </c>
      <c r="K176" s="226"/>
      <c r="L176" s="214"/>
      <c r="M176" s="214"/>
      <c r="N176" s="230">
        <f>24/1728</f>
        <v>1.3888888888888888E-2</v>
      </c>
      <c r="O176" s="232">
        <f t="shared" si="152"/>
        <v>0</v>
      </c>
      <c r="P176" s="250">
        <f t="shared" si="153"/>
        <v>0.14457831325301204</v>
      </c>
      <c r="Q176" s="249">
        <f t="shared" si="154"/>
        <v>0</v>
      </c>
    </row>
    <row r="177" spans="1:17">
      <c r="A177" s="18"/>
      <c r="B177" s="245" t="s">
        <v>432</v>
      </c>
      <c r="C177" s="234"/>
      <c r="D177" s="246" t="s">
        <v>633</v>
      </c>
      <c r="E177" s="49" t="s">
        <v>135</v>
      </c>
      <c r="F177" s="22">
        <v>65.62</v>
      </c>
      <c r="G177" s="23" t="str">
        <f t="shared" si="150"/>
        <v/>
      </c>
      <c r="H177" s="18"/>
      <c r="I177" s="189">
        <v>0.24</v>
      </c>
      <c r="J177" s="188">
        <f t="shared" si="151"/>
        <v>0</v>
      </c>
      <c r="K177" s="226"/>
      <c r="L177" s="214"/>
      <c r="M177" s="214"/>
      <c r="N177" s="230">
        <f>96/1728</f>
        <v>5.5555555555555552E-2</v>
      </c>
      <c r="O177" s="232">
        <f t="shared" si="152"/>
        <v>0</v>
      </c>
      <c r="P177" s="250">
        <f t="shared" si="153"/>
        <v>0.57831325301204817</v>
      </c>
      <c r="Q177" s="249">
        <f t="shared" si="154"/>
        <v>0</v>
      </c>
    </row>
    <row r="178" spans="1:17">
      <c r="A178" s="18"/>
      <c r="B178" s="245" t="s">
        <v>433</v>
      </c>
      <c r="C178" s="234"/>
      <c r="D178" s="246" t="s">
        <v>634</v>
      </c>
      <c r="E178" s="49" t="s">
        <v>135</v>
      </c>
      <c r="F178" s="22">
        <v>95.68</v>
      </c>
      <c r="G178" s="23" t="str">
        <f t="shared" si="150"/>
        <v/>
      </c>
      <c r="H178" s="18"/>
      <c r="I178" s="189">
        <v>0.3</v>
      </c>
      <c r="J178" s="188">
        <f t="shared" si="151"/>
        <v>0</v>
      </c>
      <c r="K178" s="239">
        <f>IF(SUM($C$136:$C$178)=0,0,ROUND((SUM($C$136:$C$178)/10)+0.5,0))</f>
        <v>0</v>
      </c>
      <c r="L178" s="214"/>
      <c r="M178" s="214"/>
      <c r="N178" s="230">
        <f>144/1728</f>
        <v>8.3333333333333329E-2</v>
      </c>
      <c r="O178" s="232">
        <f t="shared" si="152"/>
        <v>0</v>
      </c>
      <c r="P178" s="250">
        <f t="shared" si="153"/>
        <v>0.86746987951807231</v>
      </c>
      <c r="Q178" s="249">
        <f t="shared" si="154"/>
        <v>0</v>
      </c>
    </row>
    <row r="179" spans="1:17">
      <c r="A179" s="39"/>
      <c r="B179" s="44" t="s">
        <v>450</v>
      </c>
      <c r="C179" s="234"/>
      <c r="D179" s="45" t="s">
        <v>451</v>
      </c>
      <c r="E179" s="20" t="s">
        <v>135</v>
      </c>
      <c r="F179" s="22">
        <v>17.5</v>
      </c>
      <c r="G179" s="23" t="str">
        <f t="shared" si="150"/>
        <v/>
      </c>
      <c r="H179" s="18"/>
      <c r="I179" s="189">
        <v>0.21</v>
      </c>
      <c r="J179" s="188">
        <f t="shared" ref="J179:J181" si="155">+C179*I179</f>
        <v>0</v>
      </c>
      <c r="K179" s="226"/>
      <c r="L179" s="214"/>
      <c r="M179" s="214"/>
      <c r="N179" s="230">
        <f>28/1728</f>
        <v>1.6203703703703703E-2</v>
      </c>
      <c r="O179" s="232">
        <f t="shared" ref="O179:O181" si="156">+C179*N179</f>
        <v>0</v>
      </c>
      <c r="P179" s="250">
        <f t="shared" ref="P179:P181" si="157">((+N179*1728)/166)</f>
        <v>0.16867469879518071</v>
      </c>
      <c r="Q179" s="249">
        <f t="shared" ref="Q179:Q181" si="158">IF(P179&gt;I179,+P179*C179,+I179*C179)</f>
        <v>0</v>
      </c>
    </row>
    <row r="180" spans="1:17">
      <c r="A180" s="39"/>
      <c r="B180" s="44" t="s">
        <v>449</v>
      </c>
      <c r="C180" s="234"/>
      <c r="D180" s="45" t="s">
        <v>452</v>
      </c>
      <c r="E180" s="20" t="s">
        <v>135</v>
      </c>
      <c r="F180" s="22">
        <v>13.5</v>
      </c>
      <c r="G180" s="23" t="str">
        <f t="shared" si="150"/>
        <v/>
      </c>
      <c r="H180" s="18"/>
      <c r="I180" s="189">
        <v>0.12</v>
      </c>
      <c r="J180" s="188">
        <f t="shared" si="155"/>
        <v>0</v>
      </c>
      <c r="K180" s="226"/>
      <c r="L180" s="214"/>
      <c r="M180" s="214"/>
      <c r="N180" s="230">
        <f>21/1728</f>
        <v>1.2152777777777778E-2</v>
      </c>
      <c r="O180" s="232">
        <f t="shared" si="156"/>
        <v>0</v>
      </c>
      <c r="P180" s="250">
        <f t="shared" si="157"/>
        <v>0.12650602409638553</v>
      </c>
      <c r="Q180" s="249">
        <f t="shared" si="158"/>
        <v>0</v>
      </c>
    </row>
    <row r="181" spans="1:17">
      <c r="A181" s="39"/>
      <c r="B181" s="44" t="s">
        <v>448</v>
      </c>
      <c r="C181" s="234"/>
      <c r="D181" s="45" t="s">
        <v>453</v>
      </c>
      <c r="E181" s="20" t="s">
        <v>135</v>
      </c>
      <c r="F181" s="22">
        <v>6.5</v>
      </c>
      <c r="G181" s="23" t="str">
        <f t="shared" si="150"/>
        <v/>
      </c>
      <c r="H181" s="18"/>
      <c r="I181" s="189">
        <v>0.05</v>
      </c>
      <c r="J181" s="188">
        <f t="shared" si="155"/>
        <v>0</v>
      </c>
      <c r="K181" s="239">
        <f>IF(SUM($C$179:$C$181)=0,0,ROUND((SUM($C$179:$C$181)/4)+0.4,0))</f>
        <v>0</v>
      </c>
      <c r="L181" s="214"/>
      <c r="M181" s="214"/>
      <c r="N181" s="230">
        <f>14/1728</f>
        <v>8.1018518518518514E-3</v>
      </c>
      <c r="O181" s="232">
        <f t="shared" si="156"/>
        <v>0</v>
      </c>
      <c r="P181" s="250">
        <f t="shared" si="157"/>
        <v>8.4337349397590355E-2</v>
      </c>
      <c r="Q181" s="249">
        <f t="shared" si="158"/>
        <v>0</v>
      </c>
    </row>
    <row r="182" spans="1:17">
      <c r="A182" s="39"/>
      <c r="B182" s="44" t="s">
        <v>636</v>
      </c>
      <c r="C182" s="234"/>
      <c r="D182" s="45" t="s">
        <v>644</v>
      </c>
      <c r="E182" s="20" t="s">
        <v>135</v>
      </c>
      <c r="F182" s="22">
        <v>192</v>
      </c>
      <c r="G182" s="23" t="str">
        <f t="shared" ref="G182:G189" si="159">IF(C182&gt;0,+(C182*F182),"")</f>
        <v/>
      </c>
      <c r="H182" s="18"/>
      <c r="I182" s="189">
        <v>1</v>
      </c>
      <c r="J182" s="188">
        <f t="shared" ref="J182:J189" si="160">+C182*I182</f>
        <v>0</v>
      </c>
      <c r="K182" s="226"/>
      <c r="L182" s="214"/>
      <c r="M182" s="214"/>
      <c r="N182" s="230">
        <f>960/1728</f>
        <v>0.55555555555555558</v>
      </c>
      <c r="O182" s="232">
        <f t="shared" ref="O182:O189" si="161">+C182*N182</f>
        <v>0</v>
      </c>
      <c r="P182" s="250">
        <f t="shared" ref="P182:P189" si="162">((+N182*1728)/166)</f>
        <v>5.7831325301204819</v>
      </c>
      <c r="Q182" s="249">
        <f t="shared" ref="Q182:Q189" si="163">IF(P182&gt;I182,+P182*C182,+I182*C182)</f>
        <v>0</v>
      </c>
    </row>
    <row r="183" spans="1:17">
      <c r="A183" s="39"/>
      <c r="B183" s="44" t="s">
        <v>637</v>
      </c>
      <c r="C183" s="234"/>
      <c r="D183" s="45" t="s">
        <v>645</v>
      </c>
      <c r="E183" s="20" t="s">
        <v>135</v>
      </c>
      <c r="F183" s="22">
        <v>192</v>
      </c>
      <c r="G183" s="23" t="str">
        <f t="shared" si="159"/>
        <v/>
      </c>
      <c r="H183" s="18"/>
      <c r="I183" s="189">
        <v>1</v>
      </c>
      <c r="J183" s="188">
        <f t="shared" si="160"/>
        <v>0</v>
      </c>
      <c r="K183" s="226"/>
      <c r="L183" s="214"/>
      <c r="M183" s="214"/>
      <c r="N183" s="230">
        <f t="shared" ref="N183:N189" si="164">960/1728</f>
        <v>0.55555555555555558</v>
      </c>
      <c r="O183" s="232">
        <f t="shared" si="161"/>
        <v>0</v>
      </c>
      <c r="P183" s="250">
        <f t="shared" si="162"/>
        <v>5.7831325301204819</v>
      </c>
      <c r="Q183" s="249">
        <f t="shared" si="163"/>
        <v>0</v>
      </c>
    </row>
    <row r="184" spans="1:17">
      <c r="A184" s="39"/>
      <c r="B184" s="44" t="s">
        <v>638</v>
      </c>
      <c r="C184" s="234"/>
      <c r="D184" s="45" t="s">
        <v>646</v>
      </c>
      <c r="E184" s="20" t="s">
        <v>135</v>
      </c>
      <c r="F184" s="22">
        <v>192</v>
      </c>
      <c r="G184" s="23" t="str">
        <f t="shared" si="159"/>
        <v/>
      </c>
      <c r="H184" s="18"/>
      <c r="I184" s="189">
        <v>1</v>
      </c>
      <c r="J184" s="188">
        <f t="shared" si="160"/>
        <v>0</v>
      </c>
      <c r="K184" s="226"/>
      <c r="L184" s="214"/>
      <c r="M184" s="214"/>
      <c r="N184" s="230">
        <f t="shared" si="164"/>
        <v>0.55555555555555558</v>
      </c>
      <c r="O184" s="232">
        <f t="shared" si="161"/>
        <v>0</v>
      </c>
      <c r="P184" s="250">
        <f t="shared" si="162"/>
        <v>5.7831325301204819</v>
      </c>
      <c r="Q184" s="249">
        <f t="shared" si="163"/>
        <v>0</v>
      </c>
    </row>
    <row r="185" spans="1:17">
      <c r="A185" s="39"/>
      <c r="B185" s="44" t="s">
        <v>639</v>
      </c>
      <c r="C185" s="234"/>
      <c r="D185" s="45" t="s">
        <v>647</v>
      </c>
      <c r="E185" s="20" t="s">
        <v>135</v>
      </c>
      <c r="F185" s="22">
        <v>192</v>
      </c>
      <c r="G185" s="23" t="str">
        <f t="shared" si="159"/>
        <v/>
      </c>
      <c r="H185" s="18"/>
      <c r="I185" s="189">
        <v>1</v>
      </c>
      <c r="J185" s="188">
        <f t="shared" si="160"/>
        <v>0</v>
      </c>
      <c r="K185" s="226"/>
      <c r="L185" s="214"/>
      <c r="M185" s="214"/>
      <c r="N185" s="230">
        <f t="shared" si="164"/>
        <v>0.55555555555555558</v>
      </c>
      <c r="O185" s="232">
        <f t="shared" si="161"/>
        <v>0</v>
      </c>
      <c r="P185" s="250">
        <f t="shared" si="162"/>
        <v>5.7831325301204819</v>
      </c>
      <c r="Q185" s="249">
        <f t="shared" si="163"/>
        <v>0</v>
      </c>
    </row>
    <row r="186" spans="1:17">
      <c r="A186" s="39"/>
      <c r="B186" s="44" t="s">
        <v>640</v>
      </c>
      <c r="C186" s="234"/>
      <c r="D186" s="45" t="s">
        <v>648</v>
      </c>
      <c r="E186" s="20" t="s">
        <v>135</v>
      </c>
      <c r="F186" s="22">
        <v>192</v>
      </c>
      <c r="G186" s="23" t="str">
        <f t="shared" si="159"/>
        <v/>
      </c>
      <c r="H186" s="18"/>
      <c r="I186" s="189">
        <v>1</v>
      </c>
      <c r="J186" s="188">
        <f t="shared" si="160"/>
        <v>0</v>
      </c>
      <c r="K186" s="226"/>
      <c r="L186" s="214"/>
      <c r="M186" s="214"/>
      <c r="N186" s="230">
        <f t="shared" si="164"/>
        <v>0.55555555555555558</v>
      </c>
      <c r="O186" s="232">
        <f t="shared" si="161"/>
        <v>0</v>
      </c>
      <c r="P186" s="250">
        <f t="shared" si="162"/>
        <v>5.7831325301204819</v>
      </c>
      <c r="Q186" s="249">
        <f t="shared" si="163"/>
        <v>0</v>
      </c>
    </row>
    <row r="187" spans="1:17">
      <c r="A187" s="39"/>
      <c r="B187" s="44" t="s">
        <v>641</v>
      </c>
      <c r="C187" s="234"/>
      <c r="D187" s="45" t="s">
        <v>649</v>
      </c>
      <c r="E187" s="20" t="s">
        <v>135</v>
      </c>
      <c r="F187" s="22">
        <v>192</v>
      </c>
      <c r="G187" s="23" t="str">
        <f t="shared" si="159"/>
        <v/>
      </c>
      <c r="H187" s="18"/>
      <c r="I187" s="189">
        <v>1</v>
      </c>
      <c r="J187" s="188">
        <f t="shared" si="160"/>
        <v>0</v>
      </c>
      <c r="K187" s="226"/>
      <c r="L187" s="214"/>
      <c r="M187" s="214"/>
      <c r="N187" s="230">
        <f t="shared" si="164"/>
        <v>0.55555555555555558</v>
      </c>
      <c r="O187" s="232">
        <f t="shared" si="161"/>
        <v>0</v>
      </c>
      <c r="P187" s="250">
        <f t="shared" si="162"/>
        <v>5.7831325301204819</v>
      </c>
      <c r="Q187" s="249">
        <f t="shared" si="163"/>
        <v>0</v>
      </c>
    </row>
    <row r="188" spans="1:17">
      <c r="A188" s="39"/>
      <c r="B188" s="44" t="s">
        <v>642</v>
      </c>
      <c r="C188" s="234"/>
      <c r="D188" s="45" t="s">
        <v>650</v>
      </c>
      <c r="E188" s="20" t="s">
        <v>135</v>
      </c>
      <c r="F188" s="22">
        <v>192</v>
      </c>
      <c r="G188" s="23" t="str">
        <f t="shared" si="159"/>
        <v/>
      </c>
      <c r="H188" s="18"/>
      <c r="I188" s="189">
        <v>1</v>
      </c>
      <c r="J188" s="188">
        <f t="shared" si="160"/>
        <v>0</v>
      </c>
      <c r="K188" s="226"/>
      <c r="L188" s="214"/>
      <c r="M188" s="214"/>
      <c r="N188" s="230">
        <f t="shared" si="164"/>
        <v>0.55555555555555558</v>
      </c>
      <c r="O188" s="232">
        <f t="shared" si="161"/>
        <v>0</v>
      </c>
      <c r="P188" s="250">
        <f t="shared" si="162"/>
        <v>5.7831325301204819</v>
      </c>
      <c r="Q188" s="249">
        <f t="shared" si="163"/>
        <v>0</v>
      </c>
    </row>
    <row r="189" spans="1:17">
      <c r="A189" s="39"/>
      <c r="B189" s="44" t="s">
        <v>643</v>
      </c>
      <c r="C189" s="234"/>
      <c r="D189" s="45" t="s">
        <v>651</v>
      </c>
      <c r="E189" s="20" t="s">
        <v>135</v>
      </c>
      <c r="F189" s="22">
        <v>192</v>
      </c>
      <c r="G189" s="23" t="str">
        <f t="shared" si="159"/>
        <v/>
      </c>
      <c r="H189" s="18"/>
      <c r="I189" s="189">
        <v>1</v>
      </c>
      <c r="J189" s="188">
        <f t="shared" si="160"/>
        <v>0</v>
      </c>
      <c r="K189" s="239">
        <f>IF(SUM($C$182:$C$189)=0,0,ROUND((SUM($C$182:$C$189)/2)+0.4,0))</f>
        <v>0</v>
      </c>
      <c r="L189" s="214"/>
      <c r="M189" s="214"/>
      <c r="N189" s="230">
        <f t="shared" si="164"/>
        <v>0.55555555555555558</v>
      </c>
      <c r="O189" s="232">
        <f t="shared" si="161"/>
        <v>0</v>
      </c>
      <c r="P189" s="250">
        <f t="shared" si="162"/>
        <v>5.7831325301204819</v>
      </c>
      <c r="Q189" s="249">
        <f t="shared" si="163"/>
        <v>0</v>
      </c>
    </row>
    <row r="190" spans="1:17" ht="3" customHeight="1">
      <c r="A190" s="18"/>
      <c r="B190" s="27"/>
      <c r="C190" s="30"/>
      <c r="D190" s="29"/>
      <c r="E190" s="28"/>
      <c r="F190" s="50"/>
      <c r="G190" s="31"/>
      <c r="H190" s="18"/>
      <c r="I190" s="161"/>
      <c r="J190" s="161"/>
      <c r="K190" s="161"/>
      <c r="L190" s="161"/>
      <c r="M190" s="161"/>
      <c r="N190" s="161"/>
      <c r="O190" s="161"/>
      <c r="P190" s="161"/>
      <c r="Q190" s="161"/>
    </row>
    <row r="191" spans="1:17">
      <c r="A191" s="10"/>
      <c r="B191" s="137" t="s">
        <v>108</v>
      </c>
      <c r="C191" s="138" t="str">
        <f>IF(SUM(C129:C190)&gt;0,SUM(C129:C190),"")</f>
        <v/>
      </c>
      <c r="D191" s="139"/>
      <c r="E191" s="140"/>
      <c r="F191" s="141"/>
      <c r="G191" s="142" t="str">
        <f>IF(SUM(G129:G190)&gt;0,SUM(G129:G190),"")</f>
        <v/>
      </c>
      <c r="H191" s="10"/>
      <c r="I191" s="215"/>
      <c r="J191" s="215">
        <f>SUM(J129:J190)</f>
        <v>0</v>
      </c>
      <c r="K191" s="215">
        <f>IF(SUM(K129:K190)=0,0,IF(SUM(K129:K190)&lt;1,1,SUM(K129:K190)))</f>
        <v>0</v>
      </c>
      <c r="L191" s="211"/>
      <c r="M191" s="212"/>
      <c r="N191" s="215"/>
      <c r="O191" s="215">
        <f>SUM(O129:O190)</f>
        <v>0</v>
      </c>
      <c r="P191" s="215"/>
      <c r="Q191" s="215">
        <f>SUM(Q129:Q190)</f>
        <v>0</v>
      </c>
    </row>
    <row r="192" spans="1:17">
      <c r="A192" s="32"/>
      <c r="B192" s="32"/>
      <c r="C192" s="35"/>
      <c r="D192" s="5"/>
      <c r="E192" s="33"/>
      <c r="F192" s="46"/>
      <c r="G192" s="36"/>
      <c r="H192" s="32"/>
      <c r="I192" s="160"/>
      <c r="J192" s="160"/>
      <c r="K192" s="160"/>
    </row>
    <row r="193" spans="1:17">
      <c r="A193" s="16"/>
      <c r="B193" s="7" t="s">
        <v>56</v>
      </c>
      <c r="C193" s="7" t="s">
        <v>59</v>
      </c>
      <c r="D193" s="8" t="s">
        <v>168</v>
      </c>
      <c r="E193" s="7" t="s">
        <v>57</v>
      </c>
      <c r="F193" s="43" t="s">
        <v>60</v>
      </c>
      <c r="G193" s="37" t="s">
        <v>61</v>
      </c>
      <c r="H193" s="16"/>
      <c r="I193" s="182" t="s">
        <v>379</v>
      </c>
      <c r="J193" s="182" t="s">
        <v>381</v>
      </c>
      <c r="K193" s="182" t="s">
        <v>380</v>
      </c>
      <c r="L193" s="191" t="s">
        <v>382</v>
      </c>
      <c r="M193" s="191" t="s">
        <v>383</v>
      </c>
      <c r="N193" s="182" t="s">
        <v>391</v>
      </c>
      <c r="O193" s="182" t="s">
        <v>488</v>
      </c>
      <c r="P193" s="247" t="s">
        <v>441</v>
      </c>
      <c r="Q193" s="247" t="s">
        <v>489</v>
      </c>
    </row>
    <row r="194" spans="1:17">
      <c r="A194" s="39"/>
      <c r="B194" s="44" t="s">
        <v>387</v>
      </c>
      <c r="C194" s="234"/>
      <c r="D194" s="45" t="s">
        <v>388</v>
      </c>
      <c r="E194" s="49" t="s">
        <v>135</v>
      </c>
      <c r="F194" s="22">
        <v>12.6</v>
      </c>
      <c r="G194" s="23" t="str">
        <f>IF(C194&gt;0,+(C194*F194),"")</f>
        <v/>
      </c>
      <c r="H194" s="18"/>
      <c r="I194" s="189">
        <v>0.35</v>
      </c>
      <c r="J194" s="188">
        <f t="shared" ref="J194" si="165">+C194*I194</f>
        <v>0</v>
      </c>
      <c r="K194" s="196">
        <f t="shared" ref="K194:K212" si="166">+C194*N194</f>
        <v>0</v>
      </c>
      <c r="L194" s="214"/>
      <c r="M194" s="214"/>
      <c r="N194" s="230">
        <f>96/1728</f>
        <v>5.5555555555555552E-2</v>
      </c>
      <c r="O194" s="232">
        <f>+C194*N194</f>
        <v>0</v>
      </c>
      <c r="P194" s="250">
        <f>((+N194*1728)/166)</f>
        <v>0.57831325301204817</v>
      </c>
      <c r="Q194" s="249">
        <f>IF(P194&gt;I194,+P194*C194,+I194*C194)</f>
        <v>0</v>
      </c>
    </row>
    <row r="195" spans="1:17">
      <c r="A195" s="39"/>
      <c r="B195" s="44" t="s">
        <v>664</v>
      </c>
      <c r="C195" s="234"/>
      <c r="D195" s="45" t="s">
        <v>665</v>
      </c>
      <c r="E195" s="49" t="s">
        <v>135</v>
      </c>
      <c r="F195" s="22">
        <v>10</v>
      </c>
      <c r="G195" s="23" t="str">
        <f>IF(C195&gt;0,+(C195*F195),"")</f>
        <v/>
      </c>
      <c r="H195" s="18"/>
      <c r="I195" s="189">
        <v>0.15</v>
      </c>
      <c r="J195" s="188">
        <f>+C195*I195</f>
        <v>0</v>
      </c>
      <c r="K195" s="196">
        <f t="shared" ref="K195:K196" si="167">+C195*N195</f>
        <v>0</v>
      </c>
      <c r="L195" s="214"/>
      <c r="M195" s="214"/>
      <c r="N195" s="230">
        <f>288/1728</f>
        <v>0.16666666666666666</v>
      </c>
      <c r="O195" s="232">
        <f>+C195*N195</f>
        <v>0</v>
      </c>
      <c r="P195" s="250">
        <f>((+N195*1728)/166)</f>
        <v>1.7349397590361446</v>
      </c>
      <c r="Q195" s="249">
        <f>IF(P195&gt;I195,+P195*C195,+I195*C195)</f>
        <v>0</v>
      </c>
    </row>
    <row r="196" spans="1:17">
      <c r="A196" s="39"/>
      <c r="B196" s="44" t="s">
        <v>666</v>
      </c>
      <c r="C196" s="234"/>
      <c r="D196" s="45" t="s">
        <v>667</v>
      </c>
      <c r="E196" s="49" t="s">
        <v>135</v>
      </c>
      <c r="F196" s="22">
        <v>10</v>
      </c>
      <c r="G196" s="23" t="str">
        <f>IF(C196&gt;0,+(C196*F196),"")</f>
        <v/>
      </c>
      <c r="H196" s="18"/>
      <c r="I196" s="189">
        <v>0.15</v>
      </c>
      <c r="J196" s="188">
        <f>+C196*I196</f>
        <v>0</v>
      </c>
      <c r="K196" s="196">
        <f t="shared" si="167"/>
        <v>0</v>
      </c>
      <c r="L196" s="214"/>
      <c r="M196" s="214"/>
      <c r="N196" s="230">
        <f>288/1728</f>
        <v>0.16666666666666666</v>
      </c>
      <c r="O196" s="232">
        <f>+C196*N196</f>
        <v>0</v>
      </c>
      <c r="P196" s="250">
        <f>((+N196*1728)/166)</f>
        <v>1.7349397590361446</v>
      </c>
      <c r="Q196" s="249">
        <f>IF(P196&gt;I196,+P196*C196,+I196*C196)</f>
        <v>0</v>
      </c>
    </row>
    <row r="197" spans="1:17">
      <c r="A197" s="39"/>
      <c r="B197" s="44" t="s">
        <v>487</v>
      </c>
      <c r="C197" s="234"/>
      <c r="D197" s="45" t="s">
        <v>612</v>
      </c>
      <c r="E197" s="49" t="s">
        <v>135</v>
      </c>
      <c r="F197" s="22">
        <v>10</v>
      </c>
      <c r="G197" s="23" t="str">
        <f>IF(C197&gt;0,+(C197*F197),"")</f>
        <v/>
      </c>
      <c r="H197" s="18"/>
      <c r="I197" s="189">
        <v>0.15</v>
      </c>
      <c r="J197" s="188">
        <f>+C197*I197</f>
        <v>0</v>
      </c>
      <c r="K197" s="196">
        <f t="shared" si="166"/>
        <v>0</v>
      </c>
      <c r="L197" s="214"/>
      <c r="M197" s="214"/>
      <c r="N197" s="230">
        <f>288/1728</f>
        <v>0.16666666666666666</v>
      </c>
      <c r="O197" s="232">
        <f>+C197*N197</f>
        <v>0</v>
      </c>
      <c r="P197" s="250">
        <f>((+N197*1728)/166)</f>
        <v>1.7349397590361446</v>
      </c>
      <c r="Q197" s="249">
        <f>IF(P197&gt;I197,+P197*C197,+I197*C197)</f>
        <v>0</v>
      </c>
    </row>
    <row r="198" spans="1:17">
      <c r="A198" s="39"/>
      <c r="B198" s="165" t="s">
        <v>512</v>
      </c>
      <c r="C198" s="234"/>
      <c r="D198" s="165" t="s">
        <v>613</v>
      </c>
      <c r="E198" s="49" t="s">
        <v>135</v>
      </c>
      <c r="F198" s="22">
        <v>11.5</v>
      </c>
      <c r="G198" s="23" t="str">
        <f t="shared" ref="G198:G207" si="168">IF(C198&gt;0,+(C198*F198),"")</f>
        <v/>
      </c>
      <c r="H198" s="18"/>
      <c r="I198" s="189">
        <v>0.33</v>
      </c>
      <c r="J198" s="188">
        <f t="shared" ref="J198:J207" si="169">+C198*I198</f>
        <v>0</v>
      </c>
      <c r="K198" s="196">
        <f t="shared" ref="K198:K207" si="170">+C198*N198</f>
        <v>0</v>
      </c>
      <c r="L198" s="214"/>
      <c r="M198" s="214"/>
      <c r="N198" s="230">
        <f t="shared" ref="N198:N207" si="171">64/1728</f>
        <v>3.7037037037037035E-2</v>
      </c>
      <c r="O198" s="232">
        <f t="shared" ref="O198:O207" si="172">+C198*N198</f>
        <v>0</v>
      </c>
      <c r="P198" s="250">
        <f t="shared" ref="P198:P207" si="173">((+N198*1728)/166)</f>
        <v>0.38554216867469882</v>
      </c>
      <c r="Q198" s="249">
        <f t="shared" ref="Q198:Q207" si="174">IF(P198&gt;I198,+P198*C198,+I198*C198)</f>
        <v>0</v>
      </c>
    </row>
    <row r="199" spans="1:17">
      <c r="A199" s="39"/>
      <c r="B199" s="165" t="s">
        <v>513</v>
      </c>
      <c r="C199" s="234"/>
      <c r="D199" s="165" t="s">
        <v>614</v>
      </c>
      <c r="E199" s="49" t="s">
        <v>135</v>
      </c>
      <c r="F199" s="22">
        <v>11.5</v>
      </c>
      <c r="G199" s="23" t="str">
        <f t="shared" si="168"/>
        <v/>
      </c>
      <c r="H199" s="18"/>
      <c r="I199" s="189">
        <v>0.35</v>
      </c>
      <c r="J199" s="188">
        <f t="shared" si="169"/>
        <v>0</v>
      </c>
      <c r="K199" s="196">
        <f t="shared" si="170"/>
        <v>0</v>
      </c>
      <c r="L199" s="214"/>
      <c r="M199" s="214"/>
      <c r="N199" s="230">
        <f t="shared" si="171"/>
        <v>3.7037037037037035E-2</v>
      </c>
      <c r="O199" s="232">
        <f t="shared" si="172"/>
        <v>0</v>
      </c>
      <c r="P199" s="250">
        <f t="shared" si="173"/>
        <v>0.38554216867469882</v>
      </c>
      <c r="Q199" s="249">
        <f t="shared" si="174"/>
        <v>0</v>
      </c>
    </row>
    <row r="200" spans="1:17">
      <c r="A200" s="39"/>
      <c r="B200" s="165" t="s">
        <v>514</v>
      </c>
      <c r="C200" s="234"/>
      <c r="D200" s="165" t="s">
        <v>615</v>
      </c>
      <c r="E200" s="49" t="s">
        <v>135</v>
      </c>
      <c r="F200" s="22">
        <v>11.5</v>
      </c>
      <c r="G200" s="23" t="str">
        <f t="shared" si="168"/>
        <v/>
      </c>
      <c r="H200" s="18"/>
      <c r="I200" s="189">
        <v>0.42</v>
      </c>
      <c r="J200" s="188">
        <f t="shared" si="169"/>
        <v>0</v>
      </c>
      <c r="K200" s="196">
        <f t="shared" si="170"/>
        <v>0</v>
      </c>
      <c r="L200" s="214"/>
      <c r="M200" s="214"/>
      <c r="N200" s="230">
        <f t="shared" si="171"/>
        <v>3.7037037037037035E-2</v>
      </c>
      <c r="O200" s="232">
        <f t="shared" si="172"/>
        <v>0</v>
      </c>
      <c r="P200" s="250">
        <f t="shared" si="173"/>
        <v>0.38554216867469882</v>
      </c>
      <c r="Q200" s="249">
        <f t="shared" si="174"/>
        <v>0</v>
      </c>
    </row>
    <row r="201" spans="1:17">
      <c r="A201" s="39"/>
      <c r="B201" s="165" t="s">
        <v>515</v>
      </c>
      <c r="C201" s="234"/>
      <c r="D201" s="165" t="s">
        <v>616</v>
      </c>
      <c r="E201" s="49" t="s">
        <v>135</v>
      </c>
      <c r="F201" s="22">
        <v>11.5</v>
      </c>
      <c r="G201" s="23" t="str">
        <f t="shared" si="168"/>
        <v/>
      </c>
      <c r="H201" s="18"/>
      <c r="I201" s="189">
        <v>0.46</v>
      </c>
      <c r="J201" s="188">
        <f t="shared" si="169"/>
        <v>0</v>
      </c>
      <c r="K201" s="196">
        <f t="shared" si="170"/>
        <v>0</v>
      </c>
      <c r="L201" s="214"/>
      <c r="M201" s="214"/>
      <c r="N201" s="230">
        <f t="shared" si="171"/>
        <v>3.7037037037037035E-2</v>
      </c>
      <c r="O201" s="232">
        <f t="shared" si="172"/>
        <v>0</v>
      </c>
      <c r="P201" s="250">
        <f t="shared" si="173"/>
        <v>0.38554216867469882</v>
      </c>
      <c r="Q201" s="249">
        <f t="shared" si="174"/>
        <v>0</v>
      </c>
    </row>
    <row r="202" spans="1:17">
      <c r="A202" s="39"/>
      <c r="B202" s="165" t="s">
        <v>516</v>
      </c>
      <c r="C202" s="234"/>
      <c r="D202" s="165" t="s">
        <v>617</v>
      </c>
      <c r="E202" s="49" t="s">
        <v>135</v>
      </c>
      <c r="F202" s="22">
        <v>11.5</v>
      </c>
      <c r="G202" s="23" t="str">
        <f t="shared" si="168"/>
        <v/>
      </c>
      <c r="H202" s="18"/>
      <c r="I202" s="189">
        <v>0.5</v>
      </c>
      <c r="J202" s="188">
        <f t="shared" si="169"/>
        <v>0</v>
      </c>
      <c r="K202" s="196">
        <f t="shared" si="170"/>
        <v>0</v>
      </c>
      <c r="L202" s="214"/>
      <c r="M202" s="214"/>
      <c r="N202" s="230">
        <f t="shared" si="171"/>
        <v>3.7037037037037035E-2</v>
      </c>
      <c r="O202" s="232">
        <f t="shared" si="172"/>
        <v>0</v>
      </c>
      <c r="P202" s="250">
        <f t="shared" si="173"/>
        <v>0.38554216867469882</v>
      </c>
      <c r="Q202" s="249">
        <f t="shared" si="174"/>
        <v>0</v>
      </c>
    </row>
    <row r="203" spans="1:17">
      <c r="A203" s="39"/>
      <c r="B203" s="165" t="s">
        <v>517</v>
      </c>
      <c r="C203" s="234"/>
      <c r="D203" s="165" t="s">
        <v>522</v>
      </c>
      <c r="E203" s="49" t="s">
        <v>135</v>
      </c>
      <c r="F203" s="22">
        <v>11.5</v>
      </c>
      <c r="G203" s="23" t="str">
        <f t="shared" si="168"/>
        <v/>
      </c>
      <c r="H203" s="18"/>
      <c r="I203" s="189">
        <v>0.33</v>
      </c>
      <c r="J203" s="188">
        <f t="shared" si="169"/>
        <v>0</v>
      </c>
      <c r="K203" s="196">
        <f t="shared" si="170"/>
        <v>0</v>
      </c>
      <c r="L203" s="214"/>
      <c r="M203" s="214"/>
      <c r="N203" s="230">
        <f t="shared" si="171"/>
        <v>3.7037037037037035E-2</v>
      </c>
      <c r="O203" s="232">
        <f t="shared" si="172"/>
        <v>0</v>
      </c>
      <c r="P203" s="250">
        <f t="shared" si="173"/>
        <v>0.38554216867469882</v>
      </c>
      <c r="Q203" s="249">
        <f t="shared" si="174"/>
        <v>0</v>
      </c>
    </row>
    <row r="204" spans="1:17">
      <c r="A204" s="39"/>
      <c r="B204" s="165" t="s">
        <v>518</v>
      </c>
      <c r="C204" s="234"/>
      <c r="D204" s="165" t="s">
        <v>523</v>
      </c>
      <c r="E204" s="49" t="s">
        <v>135</v>
      </c>
      <c r="F204" s="22">
        <v>11.5</v>
      </c>
      <c r="G204" s="23" t="str">
        <f t="shared" si="168"/>
        <v/>
      </c>
      <c r="H204" s="18"/>
      <c r="I204" s="189">
        <v>0.35</v>
      </c>
      <c r="J204" s="188">
        <f t="shared" si="169"/>
        <v>0</v>
      </c>
      <c r="K204" s="196">
        <f t="shared" si="170"/>
        <v>0</v>
      </c>
      <c r="L204" s="214"/>
      <c r="M204" s="214"/>
      <c r="N204" s="230">
        <f t="shared" si="171"/>
        <v>3.7037037037037035E-2</v>
      </c>
      <c r="O204" s="232">
        <f t="shared" si="172"/>
        <v>0</v>
      </c>
      <c r="P204" s="250">
        <f t="shared" si="173"/>
        <v>0.38554216867469882</v>
      </c>
      <c r="Q204" s="249">
        <f t="shared" si="174"/>
        <v>0</v>
      </c>
    </row>
    <row r="205" spans="1:17">
      <c r="A205" s="39"/>
      <c r="B205" s="165" t="s">
        <v>519</v>
      </c>
      <c r="C205" s="234"/>
      <c r="D205" s="165" t="s">
        <v>524</v>
      </c>
      <c r="E205" s="49" t="s">
        <v>135</v>
      </c>
      <c r="F205" s="22">
        <v>11.5</v>
      </c>
      <c r="G205" s="23" t="str">
        <f t="shared" si="168"/>
        <v/>
      </c>
      <c r="H205" s="18"/>
      <c r="I205" s="189">
        <v>0.42</v>
      </c>
      <c r="J205" s="188">
        <f t="shared" si="169"/>
        <v>0</v>
      </c>
      <c r="K205" s="196">
        <f t="shared" si="170"/>
        <v>0</v>
      </c>
      <c r="L205" s="214"/>
      <c r="M205" s="214"/>
      <c r="N205" s="230">
        <f t="shared" si="171"/>
        <v>3.7037037037037035E-2</v>
      </c>
      <c r="O205" s="232">
        <f t="shared" si="172"/>
        <v>0</v>
      </c>
      <c r="P205" s="250">
        <f t="shared" si="173"/>
        <v>0.38554216867469882</v>
      </c>
      <c r="Q205" s="249">
        <f t="shared" si="174"/>
        <v>0</v>
      </c>
    </row>
    <row r="206" spans="1:17">
      <c r="A206" s="39"/>
      <c r="B206" s="165" t="s">
        <v>520</v>
      </c>
      <c r="C206" s="234"/>
      <c r="D206" s="165" t="s">
        <v>525</v>
      </c>
      <c r="E206" s="49" t="s">
        <v>135</v>
      </c>
      <c r="F206" s="22">
        <v>11.5</v>
      </c>
      <c r="G206" s="23" t="str">
        <f t="shared" si="168"/>
        <v/>
      </c>
      <c r="H206" s="18"/>
      <c r="I206" s="189">
        <v>0.46</v>
      </c>
      <c r="J206" s="188">
        <f t="shared" si="169"/>
        <v>0</v>
      </c>
      <c r="K206" s="196">
        <f t="shared" si="170"/>
        <v>0</v>
      </c>
      <c r="L206" s="214"/>
      <c r="M206" s="214"/>
      <c r="N206" s="230">
        <f t="shared" si="171"/>
        <v>3.7037037037037035E-2</v>
      </c>
      <c r="O206" s="232">
        <f t="shared" si="172"/>
        <v>0</v>
      </c>
      <c r="P206" s="250">
        <f t="shared" si="173"/>
        <v>0.38554216867469882</v>
      </c>
      <c r="Q206" s="249">
        <f t="shared" si="174"/>
        <v>0</v>
      </c>
    </row>
    <row r="207" spans="1:17">
      <c r="A207" s="39"/>
      <c r="B207" s="165" t="s">
        <v>521</v>
      </c>
      <c r="C207" s="234"/>
      <c r="D207" s="165" t="s">
        <v>526</v>
      </c>
      <c r="E207" s="49" t="s">
        <v>135</v>
      </c>
      <c r="F207" s="22">
        <v>11.5</v>
      </c>
      <c r="G207" s="23" t="str">
        <f t="shared" si="168"/>
        <v/>
      </c>
      <c r="H207" s="18"/>
      <c r="I207" s="189">
        <v>0.5</v>
      </c>
      <c r="J207" s="188">
        <f t="shared" si="169"/>
        <v>0</v>
      </c>
      <c r="K207" s="196">
        <f t="shared" si="170"/>
        <v>0</v>
      </c>
      <c r="L207" s="214"/>
      <c r="M207" s="214"/>
      <c r="N207" s="230">
        <f t="shared" si="171"/>
        <v>3.7037037037037035E-2</v>
      </c>
      <c r="O207" s="232">
        <f t="shared" si="172"/>
        <v>0</v>
      </c>
      <c r="P207" s="250">
        <f t="shared" si="173"/>
        <v>0.38554216867469882</v>
      </c>
      <c r="Q207" s="249">
        <f t="shared" si="174"/>
        <v>0</v>
      </c>
    </row>
    <row r="208" spans="1:17">
      <c r="A208" s="18"/>
      <c r="B208" s="165" t="s">
        <v>482</v>
      </c>
      <c r="C208" s="265"/>
      <c r="D208" s="165" t="s">
        <v>507</v>
      </c>
      <c r="E208" s="49" t="s">
        <v>135</v>
      </c>
      <c r="F208" s="22">
        <v>11.5</v>
      </c>
      <c r="G208" s="23" t="str">
        <f t="shared" ref="G208:G212" si="175">IF(C208&gt;0,+(C208*F208),"")</f>
        <v/>
      </c>
      <c r="H208" s="18"/>
      <c r="I208" s="189">
        <v>0.33</v>
      </c>
      <c r="J208" s="188">
        <f t="shared" ref="J208:J212" si="176">+C208*I208</f>
        <v>0</v>
      </c>
      <c r="K208" s="196">
        <f t="shared" si="166"/>
        <v>0</v>
      </c>
      <c r="L208" s="214"/>
      <c r="M208" s="214"/>
      <c r="N208" s="230">
        <f t="shared" ref="N208:N212" si="177">64/1728</f>
        <v>3.7037037037037035E-2</v>
      </c>
      <c r="O208" s="232">
        <f t="shared" ref="O208:O212" si="178">+C208*N208</f>
        <v>0</v>
      </c>
      <c r="P208" s="250">
        <f t="shared" ref="P208:P212" si="179">((+N208*1728)/166)</f>
        <v>0.38554216867469882</v>
      </c>
      <c r="Q208" s="249">
        <f t="shared" ref="Q208:Q212" si="180">IF(P208&gt;I208,+P208*C208,+I208*C208)</f>
        <v>0</v>
      </c>
    </row>
    <row r="209" spans="1:17">
      <c r="A209" s="18"/>
      <c r="B209" s="165" t="s">
        <v>483</v>
      </c>
      <c r="C209" s="265"/>
      <c r="D209" s="165" t="s">
        <v>508</v>
      </c>
      <c r="E209" s="49" t="s">
        <v>135</v>
      </c>
      <c r="F209" s="22">
        <v>11.5</v>
      </c>
      <c r="G209" s="23" t="str">
        <f t="shared" si="175"/>
        <v/>
      </c>
      <c r="H209" s="18"/>
      <c r="I209" s="189">
        <v>0.35</v>
      </c>
      <c r="J209" s="188">
        <f t="shared" si="176"/>
        <v>0</v>
      </c>
      <c r="K209" s="196">
        <f t="shared" si="166"/>
        <v>0</v>
      </c>
      <c r="L209" s="214"/>
      <c r="M209" s="214"/>
      <c r="N209" s="230">
        <f t="shared" si="177"/>
        <v>3.7037037037037035E-2</v>
      </c>
      <c r="O209" s="232">
        <f t="shared" si="178"/>
        <v>0</v>
      </c>
      <c r="P209" s="250">
        <f t="shared" si="179"/>
        <v>0.38554216867469882</v>
      </c>
      <c r="Q209" s="249">
        <f t="shared" si="180"/>
        <v>0</v>
      </c>
    </row>
    <row r="210" spans="1:17">
      <c r="A210" s="18"/>
      <c r="B210" s="165" t="s">
        <v>484</v>
      </c>
      <c r="C210" s="234"/>
      <c r="D210" s="165" t="s">
        <v>509</v>
      </c>
      <c r="E210" s="49" t="s">
        <v>135</v>
      </c>
      <c r="F210" s="22">
        <v>11.5</v>
      </c>
      <c r="G210" s="23" t="str">
        <f t="shared" si="175"/>
        <v/>
      </c>
      <c r="H210" s="18"/>
      <c r="I210" s="189">
        <v>0.42</v>
      </c>
      <c r="J210" s="188">
        <f t="shared" si="176"/>
        <v>0</v>
      </c>
      <c r="K210" s="196">
        <f t="shared" si="166"/>
        <v>0</v>
      </c>
      <c r="L210" s="214"/>
      <c r="M210" s="214"/>
      <c r="N210" s="230">
        <f t="shared" si="177"/>
        <v>3.7037037037037035E-2</v>
      </c>
      <c r="O210" s="232">
        <f t="shared" si="178"/>
        <v>0</v>
      </c>
      <c r="P210" s="250">
        <f t="shared" si="179"/>
        <v>0.38554216867469882</v>
      </c>
      <c r="Q210" s="249">
        <f t="shared" si="180"/>
        <v>0</v>
      </c>
    </row>
    <row r="211" spans="1:17">
      <c r="A211" s="18"/>
      <c r="B211" s="165" t="s">
        <v>485</v>
      </c>
      <c r="C211" s="234"/>
      <c r="D211" s="165" t="s">
        <v>510</v>
      </c>
      <c r="E211" s="49" t="s">
        <v>135</v>
      </c>
      <c r="F211" s="22">
        <v>11.5</v>
      </c>
      <c r="G211" s="23" t="str">
        <f t="shared" si="175"/>
        <v/>
      </c>
      <c r="H211" s="18"/>
      <c r="I211" s="189">
        <v>0.46</v>
      </c>
      <c r="J211" s="188">
        <f t="shared" si="176"/>
        <v>0</v>
      </c>
      <c r="K211" s="196">
        <f t="shared" si="166"/>
        <v>0</v>
      </c>
      <c r="L211" s="214"/>
      <c r="M211" s="214"/>
      <c r="N211" s="230">
        <f t="shared" si="177"/>
        <v>3.7037037037037035E-2</v>
      </c>
      <c r="O211" s="232">
        <f t="shared" si="178"/>
        <v>0</v>
      </c>
      <c r="P211" s="250">
        <f t="shared" si="179"/>
        <v>0.38554216867469882</v>
      </c>
      <c r="Q211" s="249">
        <f t="shared" si="180"/>
        <v>0</v>
      </c>
    </row>
    <row r="212" spans="1:17">
      <c r="A212" s="18"/>
      <c r="B212" s="165" t="s">
        <v>486</v>
      </c>
      <c r="C212" s="265"/>
      <c r="D212" s="165" t="s">
        <v>511</v>
      </c>
      <c r="E212" s="49" t="s">
        <v>135</v>
      </c>
      <c r="F212" s="22">
        <v>11.5</v>
      </c>
      <c r="G212" s="23" t="str">
        <f t="shared" si="175"/>
        <v/>
      </c>
      <c r="H212" s="18"/>
      <c r="I212" s="189">
        <v>0.5</v>
      </c>
      <c r="J212" s="188">
        <f t="shared" si="176"/>
        <v>0</v>
      </c>
      <c r="K212" s="196">
        <f t="shared" si="166"/>
        <v>0</v>
      </c>
      <c r="L212" s="214"/>
      <c r="M212" s="214"/>
      <c r="N212" s="230">
        <f t="shared" si="177"/>
        <v>3.7037037037037035E-2</v>
      </c>
      <c r="O212" s="232">
        <f t="shared" si="178"/>
        <v>0</v>
      </c>
      <c r="P212" s="250">
        <f t="shared" si="179"/>
        <v>0.38554216867469882</v>
      </c>
      <c r="Q212" s="249">
        <f t="shared" si="180"/>
        <v>0</v>
      </c>
    </row>
    <row r="213" spans="1:17" ht="3" customHeight="1">
      <c r="A213" s="18"/>
      <c r="B213" s="27"/>
      <c r="C213" s="30"/>
      <c r="D213" s="29"/>
      <c r="E213" s="28"/>
      <c r="F213" s="50"/>
      <c r="G213" s="31"/>
      <c r="H213" s="18"/>
      <c r="I213" s="161"/>
      <c r="J213" s="161"/>
      <c r="K213" s="161"/>
      <c r="L213" s="161"/>
      <c r="M213" s="161"/>
      <c r="N213" s="161"/>
      <c r="O213" s="161"/>
      <c r="P213" s="161"/>
      <c r="Q213" s="161"/>
    </row>
    <row r="214" spans="1:17">
      <c r="A214" s="10"/>
      <c r="B214" s="137" t="s">
        <v>108</v>
      </c>
      <c r="C214" s="138" t="str">
        <f>IF(SUM(C194:C213)&gt;0,SUM(C194:C213),"")</f>
        <v/>
      </c>
      <c r="D214" s="139"/>
      <c r="E214" s="140"/>
      <c r="F214" s="141"/>
      <c r="G214" s="142" t="str">
        <f>IF(SUM(G194:G213)&gt;0,SUM(G194:G213),"")</f>
        <v/>
      </c>
      <c r="H214" s="10"/>
      <c r="I214" s="215"/>
      <c r="J214" s="215">
        <f>SUM(J194:J213)</f>
        <v>0</v>
      </c>
      <c r="K214" s="215">
        <f>SUM(K194:K213)</f>
        <v>0</v>
      </c>
      <c r="L214" s="211"/>
      <c r="M214" s="212"/>
      <c r="N214" s="215"/>
      <c r="O214" s="215">
        <f>SUM(O194:O213)</f>
        <v>0</v>
      </c>
      <c r="P214" s="215"/>
      <c r="Q214" s="215">
        <f>SUM(Q194:Q213)</f>
        <v>0</v>
      </c>
    </row>
    <row r="215" spans="1:17">
      <c r="C215" s="32"/>
      <c r="D215" s="5"/>
      <c r="F215" s="46"/>
      <c r="G215" s="51"/>
      <c r="I215" s="160"/>
      <c r="J215" s="160"/>
      <c r="K215" s="160"/>
    </row>
    <row r="216" spans="1:17">
      <c r="A216" s="16"/>
      <c r="B216" s="7" t="s">
        <v>56</v>
      </c>
      <c r="C216" s="7" t="s">
        <v>59</v>
      </c>
      <c r="D216" s="8" t="s">
        <v>169</v>
      </c>
      <c r="E216" s="7" t="s">
        <v>57</v>
      </c>
      <c r="F216" s="43" t="s">
        <v>60</v>
      </c>
      <c r="G216" s="37" t="s">
        <v>61</v>
      </c>
      <c r="H216" s="16"/>
      <c r="I216" s="182" t="s">
        <v>379</v>
      </c>
      <c r="J216" s="182" t="s">
        <v>381</v>
      </c>
      <c r="K216" s="182" t="s">
        <v>380</v>
      </c>
      <c r="L216" s="191" t="s">
        <v>382</v>
      </c>
      <c r="M216" s="191" t="s">
        <v>383</v>
      </c>
      <c r="N216" s="182" t="s">
        <v>391</v>
      </c>
      <c r="O216" s="182" t="s">
        <v>488</v>
      </c>
      <c r="P216" s="247" t="s">
        <v>441</v>
      </c>
      <c r="Q216" s="247" t="s">
        <v>489</v>
      </c>
    </row>
    <row r="217" spans="1:17">
      <c r="A217" s="18"/>
      <c r="B217" s="44" t="s">
        <v>351</v>
      </c>
      <c r="C217" s="238"/>
      <c r="D217" s="45" t="s">
        <v>389</v>
      </c>
      <c r="E217" s="49" t="s">
        <v>135</v>
      </c>
      <c r="F217" s="22">
        <v>3450</v>
      </c>
      <c r="G217" s="218" t="s">
        <v>397</v>
      </c>
      <c r="H217" s="18"/>
      <c r="I217" s="231">
        <v>115</v>
      </c>
      <c r="J217" s="188">
        <f t="shared" ref="J217:J222" si="181">+C217*I217</f>
        <v>0</v>
      </c>
      <c r="K217" s="185">
        <f>+C217*2</f>
        <v>0</v>
      </c>
      <c r="L217" s="214"/>
      <c r="M217" s="214"/>
      <c r="N217" s="230">
        <f>25740/1728</f>
        <v>14.895833333333334</v>
      </c>
      <c r="O217" s="232">
        <f t="shared" ref="O217:O222" si="182">+C217*N217</f>
        <v>0</v>
      </c>
      <c r="P217" s="250">
        <f t="shared" ref="P217:P219" si="183">((+N217*1728)/166)</f>
        <v>155.06024096385542</v>
      </c>
      <c r="Q217" s="249">
        <f t="shared" ref="Q217:Q222" si="184">IF(P217&gt;I217,+P217*C217,+I217*C217)</f>
        <v>0</v>
      </c>
    </row>
    <row r="218" spans="1:17">
      <c r="A218" s="18"/>
      <c r="B218" s="44" t="s">
        <v>350</v>
      </c>
      <c r="C218" s="238"/>
      <c r="D218" s="45" t="s">
        <v>390</v>
      </c>
      <c r="E218" s="49" t="s">
        <v>135</v>
      </c>
      <c r="F218" s="22">
        <v>4150</v>
      </c>
      <c r="G218" s="218" t="s">
        <v>397</v>
      </c>
      <c r="H218" s="18"/>
      <c r="I218" s="189">
        <v>218</v>
      </c>
      <c r="J218" s="188">
        <f t="shared" si="181"/>
        <v>0</v>
      </c>
      <c r="K218" s="185">
        <f>+C218*3</f>
        <v>0</v>
      </c>
      <c r="L218" s="214"/>
      <c r="M218" s="214"/>
      <c r="N218" s="230">
        <f>49376/1728</f>
        <v>28.574074074074073</v>
      </c>
      <c r="O218" s="232">
        <f t="shared" si="182"/>
        <v>0</v>
      </c>
      <c r="P218" s="250">
        <f t="shared" si="183"/>
        <v>297.4457831325301</v>
      </c>
      <c r="Q218" s="249">
        <f t="shared" si="184"/>
        <v>0</v>
      </c>
    </row>
    <row r="219" spans="1:17">
      <c r="A219" s="18"/>
      <c r="B219" s="44" t="s">
        <v>652</v>
      </c>
      <c r="C219" s="238"/>
      <c r="D219" s="45" t="s">
        <v>656</v>
      </c>
      <c r="E219" s="49" t="s">
        <v>135</v>
      </c>
      <c r="F219" s="22">
        <v>20500</v>
      </c>
      <c r="G219" s="218" t="s">
        <v>397</v>
      </c>
      <c r="H219" s="18"/>
      <c r="I219" s="189">
        <v>1000</v>
      </c>
      <c r="J219" s="188">
        <f t="shared" si="181"/>
        <v>0</v>
      </c>
      <c r="K219" s="185">
        <f>+C219*1</f>
        <v>0</v>
      </c>
      <c r="L219" s="214"/>
      <c r="M219" s="214"/>
      <c r="N219" s="230">
        <f>95589/1728</f>
        <v>55.317708333333336</v>
      </c>
      <c r="O219" s="232">
        <f t="shared" si="182"/>
        <v>0</v>
      </c>
      <c r="P219" s="250">
        <f t="shared" si="183"/>
        <v>575.8373493975904</v>
      </c>
      <c r="Q219" s="249">
        <f t="shared" si="184"/>
        <v>0</v>
      </c>
    </row>
    <row r="220" spans="1:17">
      <c r="A220" s="18"/>
      <c r="B220" s="44" t="s">
        <v>653</v>
      </c>
      <c r="C220" s="238"/>
      <c r="D220" s="45" t="s">
        <v>657</v>
      </c>
      <c r="E220" s="49" t="s">
        <v>135</v>
      </c>
      <c r="F220" s="22">
        <v>23000</v>
      </c>
      <c r="G220" s="218" t="s">
        <v>397</v>
      </c>
      <c r="H220" s="18"/>
      <c r="I220" s="189">
        <v>1000</v>
      </c>
      <c r="J220" s="188">
        <f t="shared" si="181"/>
        <v>0</v>
      </c>
      <c r="K220" s="185">
        <f t="shared" ref="K220:K222" si="185">+C220*1</f>
        <v>0</v>
      </c>
      <c r="L220" s="214"/>
      <c r="M220" s="214"/>
      <c r="N220" s="230">
        <f t="shared" ref="N220:N222" si="186">95589/1728</f>
        <v>55.317708333333336</v>
      </c>
      <c r="O220" s="232">
        <f t="shared" si="182"/>
        <v>0</v>
      </c>
      <c r="P220" s="250">
        <f t="shared" ref="P220:P222" si="187">((+N220*1728)/166)</f>
        <v>575.8373493975904</v>
      </c>
      <c r="Q220" s="249">
        <f t="shared" si="184"/>
        <v>0</v>
      </c>
    </row>
    <row r="221" spans="1:17">
      <c r="A221" s="18"/>
      <c r="B221" s="44" t="s">
        <v>654</v>
      </c>
      <c r="C221" s="238"/>
      <c r="D221" s="45" t="s">
        <v>658</v>
      </c>
      <c r="E221" s="49" t="s">
        <v>135</v>
      </c>
      <c r="F221" s="22">
        <v>25500</v>
      </c>
      <c r="G221" s="218" t="s">
        <v>397</v>
      </c>
      <c r="H221" s="18"/>
      <c r="I221" s="189">
        <v>1000</v>
      </c>
      <c r="J221" s="188">
        <f t="shared" si="181"/>
        <v>0</v>
      </c>
      <c r="K221" s="185">
        <f t="shared" si="185"/>
        <v>0</v>
      </c>
      <c r="L221" s="214"/>
      <c r="M221" s="214"/>
      <c r="N221" s="230">
        <f t="shared" si="186"/>
        <v>55.317708333333336</v>
      </c>
      <c r="O221" s="232">
        <f t="shared" si="182"/>
        <v>0</v>
      </c>
      <c r="P221" s="250">
        <f t="shared" si="187"/>
        <v>575.8373493975904</v>
      </c>
      <c r="Q221" s="249">
        <f t="shared" si="184"/>
        <v>0</v>
      </c>
    </row>
    <row r="222" spans="1:17">
      <c r="A222" s="18"/>
      <c r="B222" s="44" t="s">
        <v>655</v>
      </c>
      <c r="C222" s="238"/>
      <c r="D222" s="45" t="s">
        <v>659</v>
      </c>
      <c r="E222" s="49" t="s">
        <v>135</v>
      </c>
      <c r="F222" s="22"/>
      <c r="G222" s="218" t="s">
        <v>397</v>
      </c>
      <c r="H222" s="18"/>
      <c r="I222" s="189">
        <v>1000</v>
      </c>
      <c r="J222" s="188">
        <f t="shared" si="181"/>
        <v>0</v>
      </c>
      <c r="K222" s="185">
        <f t="shared" si="185"/>
        <v>0</v>
      </c>
      <c r="L222" s="214"/>
      <c r="M222" s="214"/>
      <c r="N222" s="230">
        <f t="shared" si="186"/>
        <v>55.317708333333336</v>
      </c>
      <c r="O222" s="232">
        <f t="shared" si="182"/>
        <v>0</v>
      </c>
      <c r="P222" s="250">
        <f t="shared" si="187"/>
        <v>575.8373493975904</v>
      </c>
      <c r="Q222" s="249">
        <f t="shared" si="184"/>
        <v>0</v>
      </c>
    </row>
    <row r="223" spans="1:17" ht="3" customHeight="1">
      <c r="A223" s="18"/>
      <c r="B223" s="27"/>
      <c r="C223" s="30"/>
      <c r="D223" s="29"/>
      <c r="E223" s="28"/>
      <c r="F223" s="50"/>
      <c r="G223" s="31"/>
      <c r="H223" s="18"/>
      <c r="I223" s="161"/>
      <c r="J223" s="161"/>
      <c r="K223" s="161"/>
      <c r="L223" s="161"/>
      <c r="M223" s="161"/>
      <c r="N223" s="161"/>
      <c r="O223" s="161"/>
      <c r="P223" s="161"/>
      <c r="Q223" s="161"/>
    </row>
    <row r="224" spans="1:17">
      <c r="A224" s="10"/>
      <c r="B224" s="137" t="s">
        <v>108</v>
      </c>
      <c r="C224" s="143" t="str">
        <f>IF(SUM(C217:C223)&gt;0,SUM(C217:C223),"")</f>
        <v/>
      </c>
      <c r="D224" s="139"/>
      <c r="E224" s="140"/>
      <c r="F224" s="141"/>
      <c r="G224" s="142" t="str">
        <f>IF(SUM(G217:G223)&gt;0,SUM(G217:G223),"")</f>
        <v/>
      </c>
      <c r="H224" s="10"/>
      <c r="I224" s="215"/>
      <c r="J224" s="215">
        <f>SUM(J217:J223)</f>
        <v>0</v>
      </c>
      <c r="K224" s="215">
        <f>SUM(K217:K223)</f>
        <v>0</v>
      </c>
      <c r="L224" s="211"/>
      <c r="M224" s="212"/>
      <c r="N224" s="215"/>
      <c r="O224" s="215">
        <f>SUM(O217:O223)</f>
        <v>0</v>
      </c>
      <c r="P224" s="215"/>
      <c r="Q224" s="215">
        <f>SUM(Q217:Q223)</f>
        <v>0</v>
      </c>
    </row>
    <row r="225" spans="1:17">
      <c r="C225" s="32"/>
      <c r="D225" s="5"/>
      <c r="F225" s="32"/>
      <c r="G225" s="32"/>
      <c r="I225" s="160"/>
      <c r="J225" s="160"/>
      <c r="K225" s="160"/>
    </row>
    <row r="226" spans="1:17">
      <c r="A226" s="16"/>
      <c r="B226" s="7" t="s">
        <v>56</v>
      </c>
      <c r="C226" s="7" t="s">
        <v>59</v>
      </c>
      <c r="D226" s="8" t="s">
        <v>322</v>
      </c>
      <c r="E226" s="7" t="s">
        <v>57</v>
      </c>
      <c r="F226" s="43" t="s">
        <v>60</v>
      </c>
      <c r="G226" s="37" t="s">
        <v>61</v>
      </c>
      <c r="H226" s="16"/>
      <c r="I226" s="182" t="s">
        <v>379</v>
      </c>
      <c r="J226" s="182" t="s">
        <v>381</v>
      </c>
      <c r="K226" s="182" t="s">
        <v>380</v>
      </c>
      <c r="L226" s="191" t="s">
        <v>382</v>
      </c>
      <c r="M226" s="191" t="s">
        <v>383</v>
      </c>
      <c r="N226" s="182" t="s">
        <v>391</v>
      </c>
      <c r="O226" s="182" t="s">
        <v>488</v>
      </c>
      <c r="P226" s="247" t="s">
        <v>441</v>
      </c>
      <c r="Q226" s="247" t="s">
        <v>489</v>
      </c>
    </row>
    <row r="227" spans="1:17">
      <c r="A227" s="18"/>
      <c r="B227" s="135"/>
      <c r="C227" s="54"/>
      <c r="D227" s="135"/>
      <c r="E227" s="234"/>
      <c r="F227" s="134"/>
      <c r="G227" s="133" t="str">
        <f>IF(C227="","",+(C227*F227))</f>
        <v/>
      </c>
      <c r="H227" s="18"/>
      <c r="I227" s="219"/>
      <c r="J227" s="202"/>
      <c r="K227" s="202"/>
      <c r="L227" s="214"/>
      <c r="M227" s="203"/>
      <c r="N227" s="230"/>
      <c r="O227" s="202"/>
      <c r="P227" s="279"/>
      <c r="Q227" s="202"/>
    </row>
    <row r="228" spans="1:17">
      <c r="A228" s="18"/>
      <c r="B228" s="135"/>
      <c r="C228" s="54"/>
      <c r="D228" s="135"/>
      <c r="E228" s="54"/>
      <c r="F228" s="134"/>
      <c r="G228" s="133" t="str">
        <f>IF(C228="","",+(C228*F228))</f>
        <v/>
      </c>
      <c r="H228" s="18"/>
      <c r="I228" s="219"/>
      <c r="J228" s="202"/>
      <c r="K228" s="202"/>
      <c r="L228" s="214"/>
      <c r="M228" s="203"/>
      <c r="N228" s="230"/>
      <c r="O228" s="202"/>
      <c r="P228" s="279"/>
      <c r="Q228" s="202"/>
    </row>
    <row r="229" spans="1:17">
      <c r="A229" s="18"/>
      <c r="B229" s="135"/>
      <c r="C229" s="54"/>
      <c r="D229" s="135"/>
      <c r="E229" s="54"/>
      <c r="F229" s="134"/>
      <c r="G229" s="133" t="str">
        <f t="shared" ref="G229:G231" si="188">IF(C229="","",+(C229*F229))</f>
        <v/>
      </c>
      <c r="H229" s="18"/>
      <c r="I229" s="219"/>
      <c r="J229" s="202"/>
      <c r="K229" s="202"/>
      <c r="L229" s="214"/>
      <c r="M229" s="203"/>
      <c r="N229" s="230"/>
      <c r="O229" s="202"/>
      <c r="P229" s="279"/>
      <c r="Q229" s="202"/>
    </row>
    <row r="230" spans="1:17">
      <c r="A230" s="18"/>
      <c r="B230" s="135"/>
      <c r="C230" s="54"/>
      <c r="D230" s="135"/>
      <c r="E230" s="54"/>
      <c r="F230" s="134"/>
      <c r="G230" s="133" t="str">
        <f t="shared" si="188"/>
        <v/>
      </c>
      <c r="H230" s="18"/>
      <c r="I230" s="219"/>
      <c r="J230" s="202"/>
      <c r="K230" s="202"/>
      <c r="L230" s="214"/>
      <c r="M230" s="203"/>
      <c r="N230" s="230"/>
      <c r="O230" s="202"/>
      <c r="P230" s="279"/>
      <c r="Q230" s="202"/>
    </row>
    <row r="231" spans="1:17">
      <c r="A231" s="18"/>
      <c r="B231" s="135"/>
      <c r="C231" s="54"/>
      <c r="D231" s="135"/>
      <c r="E231" s="54"/>
      <c r="F231" s="134"/>
      <c r="G231" s="133" t="str">
        <f t="shared" si="188"/>
        <v/>
      </c>
      <c r="H231" s="18"/>
      <c r="I231" s="219"/>
      <c r="J231" s="202"/>
      <c r="K231" s="202"/>
      <c r="L231" s="207"/>
      <c r="M231" s="208"/>
      <c r="N231" s="230"/>
      <c r="O231" s="202"/>
      <c r="P231" s="279"/>
      <c r="Q231" s="202"/>
    </row>
    <row r="232" spans="1:17" ht="3" customHeight="1">
      <c r="A232" s="18"/>
      <c r="B232" s="27"/>
      <c r="C232" s="30"/>
      <c r="D232" s="29"/>
      <c r="E232" s="28"/>
      <c r="F232" s="50"/>
      <c r="G232" s="31"/>
      <c r="H232" s="18"/>
      <c r="I232" s="161"/>
      <c r="J232" s="161"/>
      <c r="K232" s="161"/>
      <c r="L232" s="187"/>
      <c r="M232" s="187"/>
      <c r="N232" s="161"/>
      <c r="O232" s="161"/>
      <c r="P232" s="161"/>
      <c r="Q232" s="161"/>
    </row>
    <row r="233" spans="1:17">
      <c r="A233" s="10"/>
      <c r="B233" s="137" t="s">
        <v>108</v>
      </c>
      <c r="C233" s="138" t="str">
        <f>IF(SUM(C227:C232)&gt;0,SUM(C227:C232),"")</f>
        <v/>
      </c>
      <c r="D233" s="139"/>
      <c r="E233" s="140"/>
      <c r="F233" s="141"/>
      <c r="G233" s="142" t="str">
        <f>IF(SUM(G227:G232)&lt;&gt;0,SUM(G227:G232),"")</f>
        <v/>
      </c>
      <c r="H233" s="10"/>
      <c r="I233" s="215"/>
      <c r="J233" s="215">
        <f>SUM(J227:J232)</f>
        <v>0</v>
      </c>
      <c r="K233" s="215">
        <f>SUM(K227:K232)</f>
        <v>0</v>
      </c>
      <c r="L233" s="211"/>
      <c r="M233" s="212"/>
      <c r="N233" s="215"/>
      <c r="O233" s="215">
        <f>SUM(O227:O232)</f>
        <v>0</v>
      </c>
      <c r="P233" s="215"/>
      <c r="Q233" s="215">
        <f>SUM(Q227:Q232)</f>
        <v>0</v>
      </c>
    </row>
    <row r="234" spans="1:17">
      <c r="C234" s="32"/>
      <c r="D234" s="5"/>
      <c r="F234" s="32"/>
      <c r="G234" s="32"/>
      <c r="I234" s="154"/>
      <c r="J234" s="154"/>
      <c r="K234" s="154"/>
    </row>
    <row r="235" spans="1:17">
      <c r="A235" s="16"/>
      <c r="B235" s="8"/>
      <c r="C235" s="8" t="s">
        <v>59</v>
      </c>
      <c r="D235" s="8" t="s">
        <v>323</v>
      </c>
      <c r="E235" s="7"/>
      <c r="F235" s="136"/>
      <c r="G235" s="37" t="s">
        <v>61</v>
      </c>
      <c r="H235" s="16"/>
      <c r="I235" s="182" t="s">
        <v>379</v>
      </c>
      <c r="J235" s="182" t="s">
        <v>381</v>
      </c>
      <c r="K235" s="182" t="s">
        <v>380</v>
      </c>
      <c r="L235" s="191" t="s">
        <v>382</v>
      </c>
      <c r="M235" s="191" t="s">
        <v>383</v>
      </c>
      <c r="N235" s="182" t="s">
        <v>391</v>
      </c>
      <c r="O235" s="182" t="s">
        <v>488</v>
      </c>
      <c r="P235" s="247" t="s">
        <v>441</v>
      </c>
      <c r="Q235" s="247" t="s">
        <v>489</v>
      </c>
    </row>
    <row r="236" spans="1:17">
      <c r="A236" s="10"/>
      <c r="B236" s="144" t="s">
        <v>108</v>
      </c>
      <c r="C236" s="145" t="str">
        <f>IF(SUM(C5:C234)&gt;1,SUM(C5:C234)/2,"")</f>
        <v/>
      </c>
      <c r="D236" s="146"/>
      <c r="E236" s="147"/>
      <c r="F236" s="148"/>
      <c r="G236" s="142" t="str">
        <f>IF(SUM(G5:G234)&lt;&gt;0,SUM(G5:G234)/2,"")</f>
        <v/>
      </c>
      <c r="H236" s="10"/>
      <c r="I236" s="213"/>
      <c r="J236" s="201">
        <f>SUM(J5:J234)/2</f>
        <v>0</v>
      </c>
      <c r="K236" s="201">
        <f>SUM(K5:K234)/2</f>
        <v>0</v>
      </c>
      <c r="L236" s="201">
        <f>SUM(L5:L234)</f>
        <v>0</v>
      </c>
      <c r="M236" s="201">
        <f>SUM(M5:M234)</f>
        <v>0</v>
      </c>
      <c r="N236" s="215"/>
      <c r="O236" s="201">
        <f>SUM(O5:O234)/2</f>
        <v>0</v>
      </c>
      <c r="P236" s="201"/>
      <c r="Q236" s="201">
        <f>SUM(Q5:Q234)/2</f>
        <v>0</v>
      </c>
    </row>
    <row r="237" spans="1:17" ht="3" customHeight="1">
      <c r="A237" s="18"/>
      <c r="B237" s="10"/>
      <c r="C237" s="60"/>
      <c r="D237" s="63"/>
      <c r="E237" s="62"/>
      <c r="F237" s="61"/>
      <c r="G237" s="31"/>
      <c r="H237" s="281"/>
      <c r="I237" s="31"/>
      <c r="J237" s="31"/>
      <c r="K237" s="31"/>
      <c r="L237" s="31"/>
      <c r="M237" s="31"/>
      <c r="N237" s="31"/>
      <c r="O237" s="31"/>
      <c r="P237" s="31"/>
      <c r="Q237" s="31"/>
    </row>
    <row r="238" spans="1:17">
      <c r="B238" s="252" t="str">
        <f>+Cover!$M$59</f>
        <v>Date Updated:</v>
      </c>
      <c r="C238" s="253">
        <f>+Cover!$N$59</f>
        <v>43242</v>
      </c>
      <c r="D238" s="254" t="str">
        <f>+Cover!$B$59</f>
        <v>© Pioneer Family Brands, Inc</v>
      </c>
      <c r="E238" s="255"/>
      <c r="F238" s="255"/>
      <c r="G238" s="255"/>
      <c r="H238" s="96"/>
    </row>
    <row r="239" spans="1:17">
      <c r="F239" s="52"/>
    </row>
    <row r="240" spans="1:17">
      <c r="F240" s="52"/>
    </row>
    <row r="241" spans="6:6">
      <c r="F241" s="52"/>
    </row>
  </sheetData>
  <sheetProtection formatCells="0" selectLockedCells="1"/>
  <mergeCells count="2">
    <mergeCell ref="B3:C3"/>
    <mergeCell ref="E3:F3"/>
  </mergeCells>
  <phoneticPr fontId="3" type="noConversion"/>
  <printOptions horizontalCentered="1"/>
  <pageMargins left="0.75" right="0.75" top="0.5" bottom="0.5" header="0.25" footer="0.25"/>
  <pageSetup scale="66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5">
    <tabColor theme="4" tint="-0.499984740745262"/>
    <pageSetUpPr fitToPage="1"/>
  </sheetPr>
  <dimension ref="A1:Q98"/>
  <sheetViews>
    <sheetView showGridLines="0" workbookViewId="0">
      <selection activeCell="C6" sqref="C6"/>
    </sheetView>
  </sheetViews>
  <sheetFormatPr defaultColWidth="9.140625" defaultRowHeight="12.75"/>
  <cols>
    <col min="1" max="1" width="0.85546875" style="100" customWidth="1"/>
    <col min="2" max="2" width="13.7109375" style="100" customWidth="1"/>
    <col min="3" max="3" width="11.7109375" style="100" customWidth="1"/>
    <col min="4" max="4" width="48.7109375" style="100" customWidth="1"/>
    <col min="5" max="5" width="5.7109375" style="100" customWidth="1"/>
    <col min="6" max="6" width="10.7109375" style="100" customWidth="1"/>
    <col min="7" max="7" width="14.7109375" style="100" customWidth="1"/>
    <col min="8" max="8" width="0.85546875" style="100" customWidth="1"/>
    <col min="9" max="9" width="9.140625" style="100" hidden="1" customWidth="1"/>
    <col min="10" max="11" width="8.7109375" style="100" hidden="1" customWidth="1"/>
    <col min="12" max="17" width="9.140625" style="100" hidden="1" customWidth="1"/>
    <col min="18" max="16384" width="9.140625" style="100"/>
  </cols>
  <sheetData>
    <row r="1" spans="1:17" ht="22.5">
      <c r="A1" s="96"/>
      <c r="B1" s="97" t="s">
        <v>504</v>
      </c>
      <c r="C1" s="97"/>
      <c r="D1" s="98"/>
      <c r="E1" s="99"/>
      <c r="F1" s="98"/>
      <c r="G1" s="98"/>
      <c r="H1" s="96"/>
    </row>
    <row r="2" spans="1:17">
      <c r="A2" s="6"/>
      <c r="B2" s="7" t="s">
        <v>6</v>
      </c>
      <c r="C2" s="7"/>
      <c r="D2" s="8" t="s">
        <v>10</v>
      </c>
      <c r="E2" s="7" t="s">
        <v>8</v>
      </c>
      <c r="F2" s="7"/>
      <c r="G2" s="9" t="s">
        <v>55</v>
      </c>
      <c r="H2" s="6"/>
    </row>
    <row r="3" spans="1:17" ht="15" customHeight="1">
      <c r="A3" s="10"/>
      <c r="B3" s="336" t="str">
        <f>IF(+Cover!B11="","",+Cover!B11)</f>
        <v/>
      </c>
      <c r="C3" s="337"/>
      <c r="D3" s="11" t="str">
        <f>IF(+Cover!B16="","",+Cover!B16)</f>
        <v/>
      </c>
      <c r="E3" s="338" t="str">
        <f>IF(+Cover!B56="","",+Cover!B56)</f>
        <v/>
      </c>
      <c r="F3" s="339"/>
      <c r="G3" s="12" t="str">
        <f>IF(+Cover!P11="","",+Cover!P11)</f>
        <v/>
      </c>
      <c r="H3" s="10"/>
    </row>
    <row r="4" spans="1:17">
      <c r="A4" s="96"/>
      <c r="B4" s="103"/>
      <c r="C4" s="103"/>
      <c r="D4" s="104"/>
      <c r="E4" s="96"/>
      <c r="F4" s="103"/>
      <c r="G4" s="105"/>
    </row>
    <row r="5" spans="1:17">
      <c r="A5" s="106"/>
      <c r="B5" s="107" t="s">
        <v>56</v>
      </c>
      <c r="C5" s="107" t="s">
        <v>59</v>
      </c>
      <c r="D5" s="235" t="s">
        <v>201</v>
      </c>
      <c r="E5" s="107" t="s">
        <v>57</v>
      </c>
      <c r="F5" s="107" t="s">
        <v>60</v>
      </c>
      <c r="G5" s="109" t="s">
        <v>61</v>
      </c>
      <c r="H5" s="106"/>
      <c r="I5" s="184" t="s">
        <v>379</v>
      </c>
      <c r="J5" s="182" t="s">
        <v>381</v>
      </c>
      <c r="K5" s="182" t="s">
        <v>380</v>
      </c>
      <c r="L5" s="191" t="s">
        <v>382</v>
      </c>
      <c r="M5" s="191" t="s">
        <v>383</v>
      </c>
      <c r="N5" s="182" t="s">
        <v>391</v>
      </c>
      <c r="O5" s="182" t="s">
        <v>488</v>
      </c>
      <c r="P5" s="247" t="s">
        <v>441</v>
      </c>
      <c r="Q5" s="247" t="s">
        <v>489</v>
      </c>
    </row>
    <row r="6" spans="1:17">
      <c r="A6" s="110"/>
      <c r="B6" s="132" t="s">
        <v>202</v>
      </c>
      <c r="C6" s="234"/>
      <c r="D6" s="132" t="s">
        <v>262</v>
      </c>
      <c r="E6" s="112" t="s">
        <v>135</v>
      </c>
      <c r="F6" s="256">
        <v>38</v>
      </c>
      <c r="G6" s="23" t="str">
        <f t="shared" ref="G6:G37" si="0">IF(C6&gt;0,+(C6*F6),"")</f>
        <v/>
      </c>
      <c r="H6" s="110"/>
      <c r="I6" s="198">
        <v>0.3</v>
      </c>
      <c r="J6" s="197">
        <f t="shared" ref="J6:J73" si="1">+C6*I6</f>
        <v>0</v>
      </c>
      <c r="K6" s="196">
        <f t="shared" ref="K6:K30" si="2">+C6*N6</f>
        <v>0</v>
      </c>
      <c r="L6" s="203"/>
      <c r="M6" s="203"/>
      <c r="N6" s="237">
        <f>8/1728</f>
        <v>4.6296296296296294E-3</v>
      </c>
      <c r="O6" s="232">
        <f t="shared" ref="O6" si="3">+C6*N6</f>
        <v>0</v>
      </c>
      <c r="P6" s="250">
        <f>((+N6*1728)/166)</f>
        <v>4.8192771084337352E-2</v>
      </c>
      <c r="Q6" s="249">
        <f>IF(P6&gt;I6,+P6*C6,+I6*C6)</f>
        <v>0</v>
      </c>
    </row>
    <row r="7" spans="1:17">
      <c r="A7" s="110"/>
      <c r="B7" s="132" t="s">
        <v>203</v>
      </c>
      <c r="C7" s="54"/>
      <c r="D7" s="132" t="s">
        <v>263</v>
      </c>
      <c r="E7" s="112" t="s">
        <v>135</v>
      </c>
      <c r="F7" s="256">
        <v>2</v>
      </c>
      <c r="G7" s="23" t="str">
        <f t="shared" si="0"/>
        <v/>
      </c>
      <c r="H7" s="110"/>
      <c r="I7" s="198">
        <v>0.01</v>
      </c>
      <c r="J7" s="197">
        <f t="shared" si="1"/>
        <v>0</v>
      </c>
      <c r="K7" s="196">
        <f t="shared" si="2"/>
        <v>0</v>
      </c>
      <c r="L7" s="203"/>
      <c r="M7" s="203"/>
      <c r="N7" s="237">
        <f>0.25/1728</f>
        <v>1.4467592592592592E-4</v>
      </c>
      <c r="O7" s="232">
        <f t="shared" ref="O7:O73" si="4">+C7*N7</f>
        <v>0</v>
      </c>
      <c r="P7" s="250">
        <f t="shared" ref="P7:P73" si="5">((+N7*1728)/166)</f>
        <v>1.5060240963855422E-3</v>
      </c>
      <c r="Q7" s="249">
        <f t="shared" ref="Q7:Q73" si="6">IF(P7&gt;I7,+P7*C7,+I7*C7)</f>
        <v>0</v>
      </c>
    </row>
    <row r="8" spans="1:17">
      <c r="A8" s="110"/>
      <c r="B8" s="132" t="s">
        <v>204</v>
      </c>
      <c r="C8" s="54"/>
      <c r="D8" s="132" t="s">
        <v>264</v>
      </c>
      <c r="E8" s="112" t="s">
        <v>135</v>
      </c>
      <c r="F8" s="256">
        <v>24</v>
      </c>
      <c r="G8" s="23" t="str">
        <f t="shared" si="0"/>
        <v/>
      </c>
      <c r="H8" s="110"/>
      <c r="I8" s="198">
        <v>0.66</v>
      </c>
      <c r="J8" s="197">
        <f t="shared" si="1"/>
        <v>0</v>
      </c>
      <c r="K8" s="196">
        <f t="shared" si="2"/>
        <v>0</v>
      </c>
      <c r="L8" s="203"/>
      <c r="M8" s="203"/>
      <c r="N8" s="237">
        <f>16/1728</f>
        <v>9.2592592592592587E-3</v>
      </c>
      <c r="O8" s="232">
        <f t="shared" si="4"/>
        <v>0</v>
      </c>
      <c r="P8" s="250">
        <f t="shared" si="5"/>
        <v>9.6385542168674704E-2</v>
      </c>
      <c r="Q8" s="249">
        <f t="shared" si="6"/>
        <v>0</v>
      </c>
    </row>
    <row r="9" spans="1:17">
      <c r="A9" s="110"/>
      <c r="B9" s="132" t="s">
        <v>205</v>
      </c>
      <c r="C9" s="54"/>
      <c r="D9" s="132" t="s">
        <v>265</v>
      </c>
      <c r="E9" s="112" t="s">
        <v>135</v>
      </c>
      <c r="F9" s="256">
        <v>135</v>
      </c>
      <c r="G9" s="23" t="str">
        <f t="shared" si="0"/>
        <v/>
      </c>
      <c r="H9" s="110"/>
      <c r="I9" s="198">
        <v>0.57999999999999996</v>
      </c>
      <c r="J9" s="197">
        <f t="shared" si="1"/>
        <v>0</v>
      </c>
      <c r="K9" s="196">
        <f t="shared" si="2"/>
        <v>0</v>
      </c>
      <c r="L9" s="203"/>
      <c r="M9" s="203"/>
      <c r="N9" s="237">
        <f>8/1728</f>
        <v>4.6296296296296294E-3</v>
      </c>
      <c r="O9" s="232">
        <f t="shared" si="4"/>
        <v>0</v>
      </c>
      <c r="P9" s="250">
        <f t="shared" si="5"/>
        <v>4.8192771084337352E-2</v>
      </c>
      <c r="Q9" s="249">
        <f t="shared" si="6"/>
        <v>0</v>
      </c>
    </row>
    <row r="10" spans="1:17">
      <c r="A10" s="110"/>
      <c r="B10" s="132" t="s">
        <v>206</v>
      </c>
      <c r="C10" s="54"/>
      <c r="D10" s="132" t="s">
        <v>266</v>
      </c>
      <c r="E10" s="112" t="s">
        <v>135</v>
      </c>
      <c r="F10" s="256">
        <v>38</v>
      </c>
      <c r="G10" s="23" t="str">
        <f t="shared" si="0"/>
        <v/>
      </c>
      <c r="H10" s="110"/>
      <c r="I10" s="198">
        <v>2</v>
      </c>
      <c r="J10" s="197">
        <f t="shared" si="1"/>
        <v>0</v>
      </c>
      <c r="K10" s="196">
        <f t="shared" si="2"/>
        <v>0</v>
      </c>
      <c r="L10" s="203"/>
      <c r="M10" s="203"/>
      <c r="N10" s="237">
        <f>42/1728</f>
        <v>2.4305555555555556E-2</v>
      </c>
      <c r="O10" s="232">
        <f t="shared" si="4"/>
        <v>0</v>
      </c>
      <c r="P10" s="250">
        <f t="shared" si="5"/>
        <v>0.25301204819277107</v>
      </c>
      <c r="Q10" s="249">
        <f t="shared" si="6"/>
        <v>0</v>
      </c>
    </row>
    <row r="11" spans="1:17">
      <c r="A11" s="110"/>
      <c r="B11" s="132" t="s">
        <v>207</v>
      </c>
      <c r="C11" s="54"/>
      <c r="D11" s="132" t="s">
        <v>267</v>
      </c>
      <c r="E11" s="112" t="s">
        <v>135</v>
      </c>
      <c r="F11" s="256">
        <v>6</v>
      </c>
      <c r="G11" s="23" t="str">
        <f t="shared" si="0"/>
        <v/>
      </c>
      <c r="H11" s="110"/>
      <c r="I11" s="198">
        <v>0.03</v>
      </c>
      <c r="J11" s="197">
        <f t="shared" si="1"/>
        <v>0</v>
      </c>
      <c r="K11" s="196">
        <f t="shared" si="2"/>
        <v>0</v>
      </c>
      <c r="L11" s="203"/>
      <c r="M11" s="203"/>
      <c r="N11" s="237">
        <f>1.8/1728</f>
        <v>1.0416666666666667E-3</v>
      </c>
      <c r="O11" s="232">
        <f t="shared" si="4"/>
        <v>0</v>
      </c>
      <c r="P11" s="250">
        <f t="shared" si="5"/>
        <v>1.0843373493975903E-2</v>
      </c>
      <c r="Q11" s="249">
        <f t="shared" si="6"/>
        <v>0</v>
      </c>
    </row>
    <row r="12" spans="1:17">
      <c r="A12" s="110"/>
      <c r="B12" s="132" t="s">
        <v>208</v>
      </c>
      <c r="C12" s="54"/>
      <c r="D12" s="132" t="s">
        <v>268</v>
      </c>
      <c r="E12" s="112" t="s">
        <v>135</v>
      </c>
      <c r="F12" s="256">
        <v>4</v>
      </c>
      <c r="G12" s="23" t="str">
        <f t="shared" si="0"/>
        <v/>
      </c>
      <c r="H12" s="110"/>
      <c r="I12" s="198">
        <v>0.05</v>
      </c>
      <c r="J12" s="197">
        <f t="shared" si="1"/>
        <v>0</v>
      </c>
      <c r="K12" s="196">
        <f t="shared" si="2"/>
        <v>0</v>
      </c>
      <c r="L12" s="203"/>
      <c r="M12" s="203"/>
      <c r="N12" s="237">
        <f>1/1728</f>
        <v>5.7870370370370367E-4</v>
      </c>
      <c r="O12" s="232">
        <f t="shared" si="4"/>
        <v>0</v>
      </c>
      <c r="P12" s="250">
        <f t="shared" si="5"/>
        <v>6.024096385542169E-3</v>
      </c>
      <c r="Q12" s="249">
        <f t="shared" si="6"/>
        <v>0</v>
      </c>
    </row>
    <row r="13" spans="1:17">
      <c r="A13" s="110"/>
      <c r="B13" s="132" t="s">
        <v>209</v>
      </c>
      <c r="C13" s="54"/>
      <c r="D13" s="132" t="s">
        <v>269</v>
      </c>
      <c r="E13" s="112" t="s">
        <v>135</v>
      </c>
      <c r="F13" s="256">
        <v>185</v>
      </c>
      <c r="G13" s="23" t="str">
        <f t="shared" si="0"/>
        <v/>
      </c>
      <c r="H13" s="110"/>
      <c r="I13" s="198">
        <v>2</v>
      </c>
      <c r="J13" s="197">
        <f t="shared" si="1"/>
        <v>0</v>
      </c>
      <c r="K13" s="196">
        <f t="shared" si="2"/>
        <v>0</v>
      </c>
      <c r="L13" s="203"/>
      <c r="M13" s="203"/>
      <c r="N13" s="237">
        <f>12/1728</f>
        <v>6.9444444444444441E-3</v>
      </c>
      <c r="O13" s="232">
        <f t="shared" si="4"/>
        <v>0</v>
      </c>
      <c r="P13" s="250">
        <f t="shared" si="5"/>
        <v>7.2289156626506021E-2</v>
      </c>
      <c r="Q13" s="249">
        <f t="shared" si="6"/>
        <v>0</v>
      </c>
    </row>
    <row r="14" spans="1:17">
      <c r="A14" s="110"/>
      <c r="B14" s="132" t="s">
        <v>210</v>
      </c>
      <c r="C14" s="54"/>
      <c r="D14" s="132" t="s">
        <v>270</v>
      </c>
      <c r="E14" s="112" t="s">
        <v>135</v>
      </c>
      <c r="F14" s="256">
        <v>146</v>
      </c>
      <c r="G14" s="23" t="str">
        <f t="shared" si="0"/>
        <v/>
      </c>
      <c r="H14" s="110"/>
      <c r="I14" s="198">
        <v>3</v>
      </c>
      <c r="J14" s="197">
        <f t="shared" si="1"/>
        <v>0</v>
      </c>
      <c r="K14" s="196">
        <f t="shared" si="2"/>
        <v>0</v>
      </c>
      <c r="L14" s="203"/>
      <c r="M14" s="203"/>
      <c r="N14" s="237">
        <f>700/1728</f>
        <v>0.40509259259259262</v>
      </c>
      <c r="O14" s="232">
        <f t="shared" si="4"/>
        <v>0</v>
      </c>
      <c r="P14" s="250">
        <f t="shared" si="5"/>
        <v>4.2168674698795181</v>
      </c>
      <c r="Q14" s="249">
        <f t="shared" si="6"/>
        <v>0</v>
      </c>
    </row>
    <row r="15" spans="1:17">
      <c r="A15" s="110"/>
      <c r="B15" s="132" t="s">
        <v>211</v>
      </c>
      <c r="C15" s="54"/>
      <c r="D15" s="132" t="s">
        <v>271</v>
      </c>
      <c r="E15" s="112" t="s">
        <v>135</v>
      </c>
      <c r="F15" s="256">
        <v>38</v>
      </c>
      <c r="G15" s="23" t="str">
        <f t="shared" si="0"/>
        <v/>
      </c>
      <c r="H15" s="110"/>
      <c r="I15" s="198">
        <v>0.66</v>
      </c>
      <c r="J15" s="197">
        <f t="shared" si="1"/>
        <v>0</v>
      </c>
      <c r="K15" s="196">
        <f t="shared" si="2"/>
        <v>0</v>
      </c>
      <c r="L15" s="203"/>
      <c r="M15" s="203"/>
      <c r="N15" s="237">
        <f>72/1728</f>
        <v>4.1666666666666664E-2</v>
      </c>
      <c r="O15" s="232">
        <f t="shared" si="4"/>
        <v>0</v>
      </c>
      <c r="P15" s="250">
        <f t="shared" si="5"/>
        <v>0.43373493975903615</v>
      </c>
      <c r="Q15" s="249">
        <f t="shared" si="6"/>
        <v>0</v>
      </c>
    </row>
    <row r="16" spans="1:17">
      <c r="A16" s="110"/>
      <c r="B16" s="132" t="s">
        <v>212</v>
      </c>
      <c r="C16" s="54"/>
      <c r="D16" s="132" t="s">
        <v>272</v>
      </c>
      <c r="E16" s="112" t="s">
        <v>135</v>
      </c>
      <c r="F16" s="256">
        <v>395</v>
      </c>
      <c r="G16" s="23" t="str">
        <f t="shared" si="0"/>
        <v/>
      </c>
      <c r="H16" s="110"/>
      <c r="I16" s="198">
        <v>4</v>
      </c>
      <c r="J16" s="197">
        <f t="shared" si="1"/>
        <v>0</v>
      </c>
      <c r="K16" s="196">
        <f t="shared" si="2"/>
        <v>0</v>
      </c>
      <c r="L16" s="244">
        <f>IF(G16="",0,IF((G16&lt;100),0,IF((ROUND((G16/100)-1,0)*0.9)&lt;2.7,2.7,ROUND((G16/100)-1,0)*0.9)))</f>
        <v>0</v>
      </c>
      <c r="M16" s="203"/>
      <c r="N16" s="237">
        <f>495/1728</f>
        <v>0.28645833333333331</v>
      </c>
      <c r="O16" s="232">
        <f t="shared" si="4"/>
        <v>0</v>
      </c>
      <c r="P16" s="250">
        <f t="shared" si="5"/>
        <v>2.9819277108433733</v>
      </c>
      <c r="Q16" s="249">
        <f t="shared" si="6"/>
        <v>0</v>
      </c>
    </row>
    <row r="17" spans="1:17" ht="12.75" customHeight="1">
      <c r="A17" s="110"/>
      <c r="B17" s="132" t="s">
        <v>213</v>
      </c>
      <c r="C17" s="54"/>
      <c r="D17" s="132" t="s">
        <v>273</v>
      </c>
      <c r="E17" s="112" t="s">
        <v>135</v>
      </c>
      <c r="F17" s="256">
        <v>26</v>
      </c>
      <c r="G17" s="23" t="str">
        <f t="shared" si="0"/>
        <v/>
      </c>
      <c r="H17" s="110"/>
      <c r="I17" s="199">
        <v>0.04</v>
      </c>
      <c r="J17" s="197">
        <f t="shared" si="1"/>
        <v>0</v>
      </c>
      <c r="K17" s="196">
        <f t="shared" si="2"/>
        <v>0</v>
      </c>
      <c r="L17" s="203"/>
      <c r="M17" s="203"/>
      <c r="N17" s="237">
        <f>48/1728</f>
        <v>2.7777777777777776E-2</v>
      </c>
      <c r="O17" s="232">
        <f t="shared" si="4"/>
        <v>0</v>
      </c>
      <c r="P17" s="250">
        <f t="shared" si="5"/>
        <v>0.28915662650602408</v>
      </c>
      <c r="Q17" s="249">
        <f t="shared" si="6"/>
        <v>0</v>
      </c>
    </row>
    <row r="18" spans="1:17" ht="12.75" customHeight="1">
      <c r="A18" s="110"/>
      <c r="B18" s="132" t="s">
        <v>138</v>
      </c>
      <c r="C18" s="54"/>
      <c r="D18" s="132" t="s">
        <v>274</v>
      </c>
      <c r="E18" s="112" t="s">
        <v>135</v>
      </c>
      <c r="F18" s="256">
        <v>35</v>
      </c>
      <c r="G18" s="23" t="str">
        <f t="shared" si="0"/>
        <v/>
      </c>
      <c r="H18" s="110"/>
      <c r="I18" s="199">
        <v>0.2</v>
      </c>
      <c r="J18" s="197">
        <f t="shared" si="1"/>
        <v>0</v>
      </c>
      <c r="K18" s="196">
        <f t="shared" si="2"/>
        <v>0</v>
      </c>
      <c r="L18" s="203"/>
      <c r="M18" s="203"/>
      <c r="N18" s="237">
        <f>10/1728</f>
        <v>5.7870370370370367E-3</v>
      </c>
      <c r="O18" s="232">
        <f t="shared" si="4"/>
        <v>0</v>
      </c>
      <c r="P18" s="250">
        <f t="shared" si="5"/>
        <v>6.0240963855421686E-2</v>
      </c>
      <c r="Q18" s="249">
        <f t="shared" si="6"/>
        <v>0</v>
      </c>
    </row>
    <row r="19" spans="1:17" ht="12.75" customHeight="1">
      <c r="A19" s="110"/>
      <c r="B19" s="132" t="s">
        <v>214</v>
      </c>
      <c r="C19" s="54"/>
      <c r="D19" s="132" t="s">
        <v>275</v>
      </c>
      <c r="E19" s="112" t="s">
        <v>135</v>
      </c>
      <c r="F19" s="256">
        <v>130</v>
      </c>
      <c r="G19" s="23" t="str">
        <f t="shared" si="0"/>
        <v/>
      </c>
      <c r="H19" s="110"/>
      <c r="I19" s="199">
        <v>0.5</v>
      </c>
      <c r="J19" s="197">
        <f t="shared" si="1"/>
        <v>0</v>
      </c>
      <c r="K19" s="196">
        <f t="shared" si="2"/>
        <v>0</v>
      </c>
      <c r="L19" s="203"/>
      <c r="M19" s="203"/>
      <c r="N19" s="237">
        <f>24/1728</f>
        <v>1.3888888888888888E-2</v>
      </c>
      <c r="O19" s="232">
        <f t="shared" si="4"/>
        <v>0</v>
      </c>
      <c r="P19" s="250">
        <f t="shared" si="5"/>
        <v>0.14457831325301204</v>
      </c>
      <c r="Q19" s="249">
        <f t="shared" si="6"/>
        <v>0</v>
      </c>
    </row>
    <row r="20" spans="1:17" ht="12.75" customHeight="1">
      <c r="A20" s="110"/>
      <c r="B20" s="132" t="s">
        <v>215</v>
      </c>
      <c r="C20" s="234"/>
      <c r="D20" s="132" t="s">
        <v>276</v>
      </c>
      <c r="E20" s="112" t="s">
        <v>135</v>
      </c>
      <c r="F20" s="256">
        <v>2</v>
      </c>
      <c r="G20" s="23" t="str">
        <f t="shared" si="0"/>
        <v/>
      </c>
      <c r="H20" s="110"/>
      <c r="I20" s="198">
        <v>0.02</v>
      </c>
      <c r="J20" s="197">
        <f t="shared" si="1"/>
        <v>0</v>
      </c>
      <c r="K20" s="196">
        <f t="shared" si="2"/>
        <v>0</v>
      </c>
      <c r="L20" s="203"/>
      <c r="M20" s="203"/>
      <c r="N20" s="237">
        <f>0.25/1728</f>
        <v>1.4467592592592592E-4</v>
      </c>
      <c r="O20" s="232">
        <f t="shared" si="4"/>
        <v>0</v>
      </c>
      <c r="P20" s="250">
        <f t="shared" si="5"/>
        <v>1.5060240963855422E-3</v>
      </c>
      <c r="Q20" s="249">
        <f t="shared" si="6"/>
        <v>0</v>
      </c>
    </row>
    <row r="21" spans="1:17" ht="12.75" customHeight="1">
      <c r="A21" s="110"/>
      <c r="B21" s="132" t="s">
        <v>216</v>
      </c>
      <c r="C21" s="54"/>
      <c r="D21" s="132" t="s">
        <v>277</v>
      </c>
      <c r="E21" s="112" t="s">
        <v>135</v>
      </c>
      <c r="F21" s="256">
        <v>2</v>
      </c>
      <c r="G21" s="23" t="str">
        <f t="shared" si="0"/>
        <v/>
      </c>
      <c r="H21" s="110"/>
      <c r="I21" s="198">
        <v>0.02</v>
      </c>
      <c r="J21" s="197">
        <f t="shared" si="1"/>
        <v>0</v>
      </c>
      <c r="K21" s="196">
        <f t="shared" si="2"/>
        <v>0</v>
      </c>
      <c r="L21" s="203"/>
      <c r="M21" s="203"/>
      <c r="N21" s="237">
        <f>0.25/1728</f>
        <v>1.4467592592592592E-4</v>
      </c>
      <c r="O21" s="232">
        <f t="shared" si="4"/>
        <v>0</v>
      </c>
      <c r="P21" s="250">
        <f t="shared" si="5"/>
        <v>1.5060240963855422E-3</v>
      </c>
      <c r="Q21" s="249">
        <f t="shared" si="6"/>
        <v>0</v>
      </c>
    </row>
    <row r="22" spans="1:17" ht="12.75" customHeight="1">
      <c r="A22" s="110"/>
      <c r="B22" s="132" t="s">
        <v>217</v>
      </c>
      <c r="C22" s="54"/>
      <c r="D22" s="132" t="s">
        <v>278</v>
      </c>
      <c r="E22" s="112" t="s">
        <v>135</v>
      </c>
      <c r="F22" s="256">
        <v>6</v>
      </c>
      <c r="G22" s="23" t="str">
        <f t="shared" si="0"/>
        <v/>
      </c>
      <c r="H22" s="110"/>
      <c r="I22" s="199">
        <v>0.04</v>
      </c>
      <c r="J22" s="197">
        <f t="shared" si="1"/>
        <v>0</v>
      </c>
      <c r="K22" s="196">
        <f t="shared" si="2"/>
        <v>0</v>
      </c>
      <c r="L22" s="203"/>
      <c r="M22" s="203"/>
      <c r="N22" s="237">
        <f>1/1728</f>
        <v>5.7870370370370367E-4</v>
      </c>
      <c r="O22" s="232">
        <f t="shared" si="4"/>
        <v>0</v>
      </c>
      <c r="P22" s="250">
        <f t="shared" si="5"/>
        <v>6.024096385542169E-3</v>
      </c>
      <c r="Q22" s="249">
        <f t="shared" si="6"/>
        <v>0</v>
      </c>
    </row>
    <row r="23" spans="1:17" ht="12.75" customHeight="1">
      <c r="A23" s="110"/>
      <c r="B23" s="132" t="s">
        <v>218</v>
      </c>
      <c r="C23" s="234"/>
      <c r="D23" s="132" t="s">
        <v>279</v>
      </c>
      <c r="E23" s="112" t="s">
        <v>135</v>
      </c>
      <c r="F23" s="256">
        <v>6</v>
      </c>
      <c r="G23" s="23" t="str">
        <f t="shared" si="0"/>
        <v/>
      </c>
      <c r="H23" s="110"/>
      <c r="I23" s="199">
        <v>0.02</v>
      </c>
      <c r="J23" s="197">
        <f t="shared" si="1"/>
        <v>0</v>
      </c>
      <c r="K23" s="196">
        <f t="shared" si="2"/>
        <v>0</v>
      </c>
      <c r="L23" s="203"/>
      <c r="M23" s="203"/>
      <c r="N23" s="237">
        <f>2/1728</f>
        <v>1.1574074074074073E-3</v>
      </c>
      <c r="O23" s="232">
        <f t="shared" si="4"/>
        <v>0</v>
      </c>
      <c r="P23" s="250">
        <f t="shared" si="5"/>
        <v>1.2048192771084338E-2</v>
      </c>
      <c r="Q23" s="249">
        <f t="shared" si="6"/>
        <v>0</v>
      </c>
    </row>
    <row r="24" spans="1:17" ht="12.75" customHeight="1">
      <c r="A24" s="110"/>
      <c r="B24" s="132" t="s">
        <v>219</v>
      </c>
      <c r="C24" s="54"/>
      <c r="D24" s="132" t="s">
        <v>280</v>
      </c>
      <c r="E24" s="112" t="s">
        <v>135</v>
      </c>
      <c r="F24" s="256">
        <v>36</v>
      </c>
      <c r="G24" s="23" t="str">
        <f t="shared" si="0"/>
        <v/>
      </c>
      <c r="H24" s="110"/>
      <c r="I24" s="199">
        <v>0.1</v>
      </c>
      <c r="J24" s="197">
        <f t="shared" si="1"/>
        <v>0</v>
      </c>
      <c r="K24" s="196">
        <f t="shared" si="2"/>
        <v>0</v>
      </c>
      <c r="L24" s="203"/>
      <c r="M24" s="203"/>
      <c r="N24" s="237">
        <f>16/1728</f>
        <v>9.2592592592592587E-3</v>
      </c>
      <c r="O24" s="232">
        <f t="shared" si="4"/>
        <v>0</v>
      </c>
      <c r="P24" s="250">
        <f t="shared" si="5"/>
        <v>9.6385542168674704E-2</v>
      </c>
      <c r="Q24" s="249">
        <f t="shared" si="6"/>
        <v>0</v>
      </c>
    </row>
    <row r="25" spans="1:17" ht="12.75" customHeight="1">
      <c r="A25" s="110"/>
      <c r="B25" s="132" t="s">
        <v>220</v>
      </c>
      <c r="C25" s="54"/>
      <c r="D25" s="132" t="s">
        <v>281</v>
      </c>
      <c r="E25" s="112" t="s">
        <v>135</v>
      </c>
      <c r="F25" s="256">
        <v>2</v>
      </c>
      <c r="G25" s="23" t="str">
        <f t="shared" si="0"/>
        <v/>
      </c>
      <c r="H25" s="110"/>
      <c r="I25" s="198">
        <v>0.02</v>
      </c>
      <c r="J25" s="197">
        <f t="shared" si="1"/>
        <v>0</v>
      </c>
      <c r="K25" s="196">
        <f t="shared" si="2"/>
        <v>0</v>
      </c>
      <c r="L25" s="203"/>
      <c r="M25" s="203"/>
      <c r="N25" s="237">
        <f>0.2/1728</f>
        <v>1.1574074074074075E-4</v>
      </c>
      <c r="O25" s="232">
        <f t="shared" si="4"/>
        <v>0</v>
      </c>
      <c r="P25" s="250">
        <f t="shared" si="5"/>
        <v>1.2048192771084338E-3</v>
      </c>
      <c r="Q25" s="249">
        <f t="shared" si="6"/>
        <v>0</v>
      </c>
    </row>
    <row r="26" spans="1:17" ht="12.75" customHeight="1">
      <c r="A26" s="110"/>
      <c r="B26" s="132" t="s">
        <v>221</v>
      </c>
      <c r="C26" s="54"/>
      <c r="D26" s="132" t="s">
        <v>479</v>
      </c>
      <c r="E26" s="112" t="s">
        <v>135</v>
      </c>
      <c r="F26" s="256">
        <v>58</v>
      </c>
      <c r="G26" s="23" t="str">
        <f t="shared" si="0"/>
        <v/>
      </c>
      <c r="H26" s="110"/>
      <c r="I26" s="199">
        <v>1</v>
      </c>
      <c r="J26" s="197">
        <f t="shared" si="1"/>
        <v>0</v>
      </c>
      <c r="K26" s="196">
        <f t="shared" si="2"/>
        <v>0</v>
      </c>
      <c r="L26" s="203"/>
      <c r="M26" s="203"/>
      <c r="N26" s="237">
        <f>216/1728</f>
        <v>0.125</v>
      </c>
      <c r="O26" s="232">
        <f t="shared" si="4"/>
        <v>0</v>
      </c>
      <c r="P26" s="250">
        <f t="shared" si="5"/>
        <v>1.3012048192771084</v>
      </c>
      <c r="Q26" s="249">
        <f t="shared" si="6"/>
        <v>0</v>
      </c>
    </row>
    <row r="27" spans="1:17" ht="12.75" customHeight="1">
      <c r="A27" s="110"/>
      <c r="B27" s="132" t="s">
        <v>222</v>
      </c>
      <c r="C27" s="54"/>
      <c r="D27" s="132" t="s">
        <v>282</v>
      </c>
      <c r="E27" s="112" t="s">
        <v>135</v>
      </c>
      <c r="F27" s="256">
        <v>4</v>
      </c>
      <c r="G27" s="23" t="str">
        <f t="shared" si="0"/>
        <v/>
      </c>
      <c r="H27" s="110"/>
      <c r="I27" s="198">
        <v>0.04</v>
      </c>
      <c r="J27" s="197">
        <f t="shared" si="1"/>
        <v>0</v>
      </c>
      <c r="K27" s="196">
        <f t="shared" si="2"/>
        <v>0</v>
      </c>
      <c r="L27" s="203"/>
      <c r="M27" s="203"/>
      <c r="N27" s="237">
        <f>0.8/1728</f>
        <v>4.6296296296296298E-4</v>
      </c>
      <c r="O27" s="232">
        <f t="shared" si="4"/>
        <v>0</v>
      </c>
      <c r="P27" s="250">
        <f t="shared" si="5"/>
        <v>4.8192771084337354E-3</v>
      </c>
      <c r="Q27" s="249">
        <f t="shared" si="6"/>
        <v>0</v>
      </c>
    </row>
    <row r="28" spans="1:17" ht="12.75" customHeight="1">
      <c r="A28" s="110"/>
      <c r="B28" s="132" t="s">
        <v>223</v>
      </c>
      <c r="C28" s="234"/>
      <c r="D28" s="132" t="s">
        <v>503</v>
      </c>
      <c r="E28" s="112" t="s">
        <v>135</v>
      </c>
      <c r="F28" s="256">
        <v>130</v>
      </c>
      <c r="G28" s="23" t="str">
        <f t="shared" si="0"/>
        <v/>
      </c>
      <c r="H28" s="110"/>
      <c r="I28" s="199">
        <v>2</v>
      </c>
      <c r="J28" s="197">
        <f t="shared" si="1"/>
        <v>0</v>
      </c>
      <c r="K28" s="196">
        <f t="shared" si="2"/>
        <v>0</v>
      </c>
      <c r="L28" s="203"/>
      <c r="M28" s="203"/>
      <c r="N28" s="237">
        <f>1248/1728</f>
        <v>0.72222222222222221</v>
      </c>
      <c r="O28" s="232">
        <f t="shared" si="4"/>
        <v>0</v>
      </c>
      <c r="P28" s="250">
        <f t="shared" si="5"/>
        <v>7.5180722891566267</v>
      </c>
      <c r="Q28" s="249">
        <f t="shared" si="6"/>
        <v>0</v>
      </c>
    </row>
    <row r="29" spans="1:17" ht="12.75" customHeight="1">
      <c r="A29" s="110"/>
      <c r="B29" s="132" t="s">
        <v>0</v>
      </c>
      <c r="C29" s="54"/>
      <c r="D29" s="132" t="s">
        <v>1</v>
      </c>
      <c r="E29" s="112" t="s">
        <v>135</v>
      </c>
      <c r="F29" s="256">
        <v>3</v>
      </c>
      <c r="G29" s="23" t="str">
        <f>IF(C29&gt;0,+(C29*F29),"")</f>
        <v/>
      </c>
      <c r="H29" s="110"/>
      <c r="I29" s="198">
        <v>0.02</v>
      </c>
      <c r="J29" s="197">
        <f t="shared" si="1"/>
        <v>0</v>
      </c>
      <c r="K29" s="196">
        <f t="shared" si="2"/>
        <v>0</v>
      </c>
      <c r="L29" s="203"/>
      <c r="M29" s="203"/>
      <c r="N29" s="237">
        <f>2.1/1728</f>
        <v>1.2152777777777778E-3</v>
      </c>
      <c r="O29" s="232">
        <f t="shared" si="4"/>
        <v>0</v>
      </c>
      <c r="P29" s="250">
        <f t="shared" si="5"/>
        <v>1.2650602409638554E-2</v>
      </c>
      <c r="Q29" s="249">
        <f t="shared" si="6"/>
        <v>0</v>
      </c>
    </row>
    <row r="30" spans="1:17" ht="12.75" customHeight="1">
      <c r="A30" s="110"/>
      <c r="B30" s="132" t="s">
        <v>224</v>
      </c>
      <c r="C30" s="54"/>
      <c r="D30" s="132" t="s">
        <v>283</v>
      </c>
      <c r="E30" s="112" t="s">
        <v>135</v>
      </c>
      <c r="F30" s="256">
        <v>2</v>
      </c>
      <c r="G30" s="23" t="str">
        <f t="shared" si="0"/>
        <v/>
      </c>
      <c r="H30" s="110"/>
      <c r="I30" s="198">
        <v>0.02</v>
      </c>
      <c r="J30" s="197">
        <f t="shared" si="1"/>
        <v>0</v>
      </c>
      <c r="K30" s="196">
        <f t="shared" si="2"/>
        <v>0</v>
      </c>
      <c r="L30" s="203"/>
      <c r="M30" s="203"/>
      <c r="N30" s="237">
        <f>0.2/1728</f>
        <v>1.1574074074074075E-4</v>
      </c>
      <c r="O30" s="232">
        <f t="shared" si="4"/>
        <v>0</v>
      </c>
      <c r="P30" s="250">
        <f t="shared" si="5"/>
        <v>1.2048192771084338E-3</v>
      </c>
      <c r="Q30" s="249">
        <f t="shared" si="6"/>
        <v>0</v>
      </c>
    </row>
    <row r="31" spans="1:17" ht="12.75" customHeight="1">
      <c r="A31" s="110"/>
      <c r="B31" s="132" t="s">
        <v>2</v>
      </c>
      <c r="C31" s="234"/>
      <c r="D31" s="132" t="s">
        <v>5</v>
      </c>
      <c r="E31" s="112" t="s">
        <v>135</v>
      </c>
      <c r="F31" s="256">
        <v>400</v>
      </c>
      <c r="G31" s="23" t="str">
        <f>IF(C31&gt;0,+(C31*F31),"")</f>
        <v/>
      </c>
      <c r="H31" s="110"/>
      <c r="I31" s="199">
        <f>16.07+0.07</f>
        <v>16.14</v>
      </c>
      <c r="J31" s="197">
        <f>+C31*I31</f>
        <v>0</v>
      </c>
      <c r="K31" s="196">
        <f t="shared" ref="K31" si="7">+C31*N31</f>
        <v>0</v>
      </c>
      <c r="L31" s="244">
        <f>IF(G31="",0,IF((G31&lt;100),0,IF((ROUND((G31/100)-1,0)*0.9)&lt;2.7,2.7,ROUND((G31/100)-1,0)*0.9)))</f>
        <v>0</v>
      </c>
      <c r="M31" s="203"/>
      <c r="N31" s="237">
        <f>1728/1728</f>
        <v>1</v>
      </c>
      <c r="O31" s="232">
        <f t="shared" si="4"/>
        <v>0</v>
      </c>
      <c r="P31" s="250">
        <f t="shared" si="5"/>
        <v>10.409638554216867</v>
      </c>
      <c r="Q31" s="249">
        <f t="shared" si="6"/>
        <v>0</v>
      </c>
    </row>
    <row r="32" spans="1:17" ht="12.75" customHeight="1">
      <c r="A32" s="110"/>
      <c r="B32" s="132" t="s">
        <v>459</v>
      </c>
      <c r="C32" s="234"/>
      <c r="D32" s="132" t="s">
        <v>460</v>
      </c>
      <c r="E32" s="112" t="s">
        <v>135</v>
      </c>
      <c r="F32" s="256">
        <v>20</v>
      </c>
      <c r="G32" s="23" t="str">
        <f>IF(C32&gt;0,+(C32*F32),"")</f>
        <v/>
      </c>
      <c r="H32" s="110"/>
      <c r="I32" s="199">
        <v>0.2</v>
      </c>
      <c r="J32" s="197">
        <f>+C32*I32</f>
        <v>0</v>
      </c>
      <c r="K32" s="196">
        <f t="shared" ref="K32:K34" si="8">+C32*N32</f>
        <v>0</v>
      </c>
      <c r="L32" s="203"/>
      <c r="M32" s="203"/>
      <c r="N32" s="237">
        <f>6/1728</f>
        <v>3.472222222222222E-3</v>
      </c>
      <c r="O32" s="232">
        <f t="shared" si="4"/>
        <v>0</v>
      </c>
      <c r="P32" s="250">
        <f t="shared" si="5"/>
        <v>3.614457831325301E-2</v>
      </c>
      <c r="Q32" s="249">
        <f t="shared" si="6"/>
        <v>0</v>
      </c>
    </row>
    <row r="33" spans="1:17" ht="12.75" customHeight="1">
      <c r="A33" s="110"/>
      <c r="B33" s="132" t="s">
        <v>494</v>
      </c>
      <c r="C33" s="234"/>
      <c r="D33" s="132" t="s">
        <v>497</v>
      </c>
      <c r="E33" s="112" t="s">
        <v>135</v>
      </c>
      <c r="F33" s="256">
        <v>2</v>
      </c>
      <c r="G33" s="23" t="str">
        <f t="shared" ref="G33:G34" si="9">IF(C33&gt;0,+(C33*F33),"")</f>
        <v/>
      </c>
      <c r="H33" s="110"/>
      <c r="I33" s="198">
        <v>0.02</v>
      </c>
      <c r="J33" s="197">
        <f t="shared" ref="J33:J34" si="10">+C33*I33</f>
        <v>0</v>
      </c>
      <c r="K33" s="196">
        <f t="shared" si="8"/>
        <v>0</v>
      </c>
      <c r="L33" s="203"/>
      <c r="M33" s="203"/>
      <c r="N33" s="237">
        <f t="shared" ref="N33:N34" si="11">0.2/1728</f>
        <v>1.1574074074074075E-4</v>
      </c>
      <c r="O33" s="232">
        <f t="shared" ref="O33:O34" si="12">+C33*N33</f>
        <v>0</v>
      </c>
      <c r="P33" s="250">
        <f t="shared" ref="P33:P34" si="13">((+N33*1728)/166)</f>
        <v>1.2048192771084338E-3</v>
      </c>
      <c r="Q33" s="249">
        <f t="shared" ref="Q33:Q34" si="14">IF(P33&gt;I33,+P33*C33,+I33*C33)</f>
        <v>0</v>
      </c>
    </row>
    <row r="34" spans="1:17" ht="12.75" customHeight="1">
      <c r="A34" s="110"/>
      <c r="B34" s="132" t="s">
        <v>495</v>
      </c>
      <c r="C34" s="234"/>
      <c r="D34" s="132" t="s">
        <v>496</v>
      </c>
      <c r="E34" s="112" t="s">
        <v>135</v>
      </c>
      <c r="F34" s="256">
        <v>2</v>
      </c>
      <c r="G34" s="23" t="str">
        <f t="shared" si="9"/>
        <v/>
      </c>
      <c r="H34" s="110"/>
      <c r="I34" s="198">
        <v>0.02</v>
      </c>
      <c r="J34" s="197">
        <f t="shared" si="10"/>
        <v>0</v>
      </c>
      <c r="K34" s="196">
        <f t="shared" si="8"/>
        <v>0</v>
      </c>
      <c r="L34" s="203"/>
      <c r="M34" s="203"/>
      <c r="N34" s="237">
        <f t="shared" si="11"/>
        <v>1.1574074074074075E-4</v>
      </c>
      <c r="O34" s="232">
        <f t="shared" si="12"/>
        <v>0</v>
      </c>
      <c r="P34" s="250">
        <f t="shared" si="13"/>
        <v>1.2048192771084338E-3</v>
      </c>
      <c r="Q34" s="249">
        <f t="shared" si="14"/>
        <v>0</v>
      </c>
    </row>
    <row r="35" spans="1:17" ht="12.75" customHeight="1">
      <c r="A35" s="110"/>
      <c r="B35" s="132" t="s">
        <v>225</v>
      </c>
      <c r="C35" s="54"/>
      <c r="D35" s="132" t="s">
        <v>284</v>
      </c>
      <c r="E35" s="112" t="s">
        <v>135</v>
      </c>
      <c r="F35" s="256">
        <v>16</v>
      </c>
      <c r="G35" s="23" t="str">
        <f t="shared" si="0"/>
        <v/>
      </c>
      <c r="H35" s="110"/>
      <c r="I35" s="199">
        <v>10</v>
      </c>
      <c r="J35" s="197">
        <f t="shared" si="1"/>
        <v>0</v>
      </c>
      <c r="K35" s="196">
        <f t="shared" ref="K35" si="15">+C35*N35</f>
        <v>0</v>
      </c>
      <c r="L35" s="203"/>
      <c r="M35" s="203"/>
      <c r="N35" s="237">
        <f>288/1728</f>
        <v>0.16666666666666666</v>
      </c>
      <c r="O35" s="232">
        <f t="shared" si="4"/>
        <v>0</v>
      </c>
      <c r="P35" s="250">
        <f t="shared" si="5"/>
        <v>1.7349397590361446</v>
      </c>
      <c r="Q35" s="249">
        <f t="shared" si="6"/>
        <v>0</v>
      </c>
    </row>
    <row r="36" spans="1:17" ht="12.75" customHeight="1">
      <c r="A36" s="110"/>
      <c r="B36" s="132" t="s">
        <v>226</v>
      </c>
      <c r="C36" s="54"/>
      <c r="D36" s="132" t="s">
        <v>285</v>
      </c>
      <c r="E36" s="112" t="s">
        <v>135</v>
      </c>
      <c r="F36" s="256">
        <v>2</v>
      </c>
      <c r="G36" s="23" t="str">
        <f t="shared" si="0"/>
        <v/>
      </c>
      <c r="H36" s="110"/>
      <c r="I36" s="198">
        <v>0.03</v>
      </c>
      <c r="J36" s="197">
        <f t="shared" si="1"/>
        <v>0</v>
      </c>
      <c r="K36" s="196">
        <f>+C36*N36</f>
        <v>0</v>
      </c>
      <c r="L36" s="203"/>
      <c r="M36" s="203"/>
      <c r="N36" s="237">
        <f>1/1728</f>
        <v>5.7870370370370367E-4</v>
      </c>
      <c r="O36" s="232">
        <f t="shared" si="4"/>
        <v>0</v>
      </c>
      <c r="P36" s="250">
        <f t="shared" si="5"/>
        <v>6.024096385542169E-3</v>
      </c>
      <c r="Q36" s="249">
        <f t="shared" si="6"/>
        <v>0</v>
      </c>
    </row>
    <row r="37" spans="1:17" ht="12.75" customHeight="1">
      <c r="A37" s="110"/>
      <c r="B37" s="132" t="s">
        <v>227</v>
      </c>
      <c r="C37" s="234"/>
      <c r="D37" s="132" t="s">
        <v>286</v>
      </c>
      <c r="E37" s="112" t="s">
        <v>135</v>
      </c>
      <c r="F37" s="256">
        <v>440</v>
      </c>
      <c r="G37" s="23" t="str">
        <f t="shared" si="0"/>
        <v/>
      </c>
      <c r="H37" s="110"/>
      <c r="I37" s="199">
        <v>10</v>
      </c>
      <c r="J37" s="197">
        <f t="shared" si="1"/>
        <v>0</v>
      </c>
      <c r="K37" s="196">
        <f t="shared" ref="K37:K38" si="16">+C37*N37</f>
        <v>0</v>
      </c>
      <c r="L37" s="244">
        <f>IF(G37="",0,IF((G37&lt;100),0,IF((ROUND((G37/100)-1,0)*0.9)&lt;2.7,2.7,ROUND((G37/100)-1,0)*0.9)))</f>
        <v>0</v>
      </c>
      <c r="M37" s="203"/>
      <c r="N37" s="237">
        <f>1728/1728</f>
        <v>1</v>
      </c>
      <c r="O37" s="232">
        <f t="shared" si="4"/>
        <v>0</v>
      </c>
      <c r="P37" s="250">
        <f t="shared" si="5"/>
        <v>10.409638554216867</v>
      </c>
      <c r="Q37" s="249">
        <f t="shared" si="6"/>
        <v>0</v>
      </c>
    </row>
    <row r="38" spans="1:17" ht="12.75" customHeight="1">
      <c r="A38" s="110"/>
      <c r="B38" s="132" t="s">
        <v>3</v>
      </c>
      <c r="C38" s="265"/>
      <c r="D38" s="132" t="s">
        <v>4</v>
      </c>
      <c r="E38" s="112" t="s">
        <v>135</v>
      </c>
      <c r="F38" s="256">
        <v>580</v>
      </c>
      <c r="G38" s="23" t="str">
        <f>IF(C38&gt;0,+(C38*F38),"")</f>
        <v/>
      </c>
      <c r="H38" s="110"/>
      <c r="I38" s="199">
        <f>16.07+0.07</f>
        <v>16.14</v>
      </c>
      <c r="J38" s="197">
        <f>+C38*I38</f>
        <v>0</v>
      </c>
      <c r="K38" s="196">
        <f t="shared" si="16"/>
        <v>0</v>
      </c>
      <c r="L38" s="244">
        <f>IF(G38="",0,IF((G38&lt;100),0,IF((ROUND((G38/100)-1,0)*0.9)&lt;2.7,2.7,ROUND((G38/100)-1,0)*0.9)))</f>
        <v>0</v>
      </c>
      <c r="M38" s="203"/>
      <c r="N38" s="237">
        <f>1728/1728</f>
        <v>1</v>
      </c>
      <c r="O38" s="232">
        <f t="shared" si="4"/>
        <v>0</v>
      </c>
      <c r="P38" s="250">
        <f t="shared" si="5"/>
        <v>10.409638554216867</v>
      </c>
      <c r="Q38" s="249">
        <f t="shared" si="6"/>
        <v>0</v>
      </c>
    </row>
    <row r="39" spans="1:17" ht="12.75" customHeight="1">
      <c r="A39" s="110"/>
      <c r="B39" s="132" t="s">
        <v>228</v>
      </c>
      <c r="C39" s="54"/>
      <c r="D39" s="132" t="s">
        <v>287</v>
      </c>
      <c r="E39" s="112" t="s">
        <v>135</v>
      </c>
      <c r="F39" s="256">
        <v>2</v>
      </c>
      <c r="G39" s="23" t="str">
        <f t="shared" ref="G39:G73" si="17">IF(C39&gt;0,+(C39*F39),"")</f>
        <v/>
      </c>
      <c r="H39" s="110"/>
      <c r="I39" s="198">
        <v>0.02</v>
      </c>
      <c r="J39" s="197">
        <f t="shared" si="1"/>
        <v>0</v>
      </c>
      <c r="K39" s="196">
        <f t="shared" ref="K39" si="18">+C39*N39</f>
        <v>0</v>
      </c>
      <c r="L39" s="203"/>
      <c r="M39" s="203"/>
      <c r="N39" s="237">
        <f>0.2/1728</f>
        <v>1.1574074074074075E-4</v>
      </c>
      <c r="O39" s="232">
        <f t="shared" si="4"/>
        <v>0</v>
      </c>
      <c r="P39" s="250">
        <f t="shared" si="5"/>
        <v>1.2048192771084338E-3</v>
      </c>
      <c r="Q39" s="249">
        <f t="shared" si="6"/>
        <v>0</v>
      </c>
    </row>
    <row r="40" spans="1:17" ht="12.75" customHeight="1">
      <c r="A40" s="110"/>
      <c r="B40" s="132" t="s">
        <v>229</v>
      </c>
      <c r="C40" s="54"/>
      <c r="D40" s="132" t="s">
        <v>288</v>
      </c>
      <c r="E40" s="112" t="s">
        <v>135</v>
      </c>
      <c r="F40" s="256">
        <v>80</v>
      </c>
      <c r="G40" s="23" t="str">
        <f t="shared" si="17"/>
        <v/>
      </c>
      <c r="H40" s="110"/>
      <c r="I40" s="198">
        <v>1.25</v>
      </c>
      <c r="J40" s="197">
        <f t="shared" si="1"/>
        <v>0</v>
      </c>
      <c r="K40" s="196">
        <f t="shared" ref="K40" si="19">+C40*N40</f>
        <v>0</v>
      </c>
      <c r="L40" s="203"/>
      <c r="M40" s="203"/>
      <c r="N40" s="237">
        <f>28/1728</f>
        <v>1.6203703703703703E-2</v>
      </c>
      <c r="O40" s="232">
        <f t="shared" si="4"/>
        <v>0</v>
      </c>
      <c r="P40" s="250">
        <f t="shared" si="5"/>
        <v>0.16867469879518071</v>
      </c>
      <c r="Q40" s="249">
        <f t="shared" si="6"/>
        <v>0</v>
      </c>
    </row>
    <row r="41" spans="1:17" ht="12.75" customHeight="1">
      <c r="A41" s="110"/>
      <c r="B41" s="132" t="s">
        <v>230</v>
      </c>
      <c r="C41" s="54"/>
      <c r="D41" s="132" t="s">
        <v>289</v>
      </c>
      <c r="E41" s="112" t="s">
        <v>135</v>
      </c>
      <c r="F41" s="256">
        <v>2</v>
      </c>
      <c r="G41" s="23" t="str">
        <f t="shared" si="17"/>
        <v/>
      </c>
      <c r="H41" s="110"/>
      <c r="I41" s="198">
        <v>0.02</v>
      </c>
      <c r="J41" s="197">
        <f t="shared" si="1"/>
        <v>0</v>
      </c>
      <c r="K41" s="196">
        <f t="shared" ref="K41" si="20">+C41*N41</f>
        <v>0</v>
      </c>
      <c r="L41" s="203"/>
      <c r="M41" s="203"/>
      <c r="N41" s="237">
        <f>0.25/1728</f>
        <v>1.4467592592592592E-4</v>
      </c>
      <c r="O41" s="232">
        <f t="shared" si="4"/>
        <v>0</v>
      </c>
      <c r="P41" s="250">
        <f t="shared" si="5"/>
        <v>1.5060240963855422E-3</v>
      </c>
      <c r="Q41" s="249">
        <f t="shared" si="6"/>
        <v>0</v>
      </c>
    </row>
    <row r="42" spans="1:17" ht="12.75" customHeight="1">
      <c r="A42" s="110"/>
      <c r="B42" s="132" t="s">
        <v>231</v>
      </c>
      <c r="C42" s="54"/>
      <c r="D42" s="132" t="s">
        <v>290</v>
      </c>
      <c r="E42" s="112" t="s">
        <v>135</v>
      </c>
      <c r="F42" s="256">
        <v>2</v>
      </c>
      <c r="G42" s="23" t="str">
        <f t="shared" si="17"/>
        <v/>
      </c>
      <c r="H42" s="110"/>
      <c r="I42" s="198">
        <v>0.02</v>
      </c>
      <c r="J42" s="197">
        <f t="shared" si="1"/>
        <v>0</v>
      </c>
      <c r="K42" s="196">
        <f t="shared" ref="K42" si="21">+C42*N42</f>
        <v>0</v>
      </c>
      <c r="L42" s="203"/>
      <c r="M42" s="203"/>
      <c r="N42" s="237">
        <f>0.25/1728</f>
        <v>1.4467592592592592E-4</v>
      </c>
      <c r="O42" s="232">
        <f t="shared" si="4"/>
        <v>0</v>
      </c>
      <c r="P42" s="250">
        <f t="shared" si="5"/>
        <v>1.5060240963855422E-3</v>
      </c>
      <c r="Q42" s="249">
        <f t="shared" si="6"/>
        <v>0</v>
      </c>
    </row>
    <row r="43" spans="1:17" ht="12.75" customHeight="1">
      <c r="A43" s="110"/>
      <c r="B43" s="132" t="s">
        <v>232</v>
      </c>
      <c r="C43" s="54"/>
      <c r="D43" s="132" t="s">
        <v>291</v>
      </c>
      <c r="E43" s="112" t="s">
        <v>135</v>
      </c>
      <c r="F43" s="256">
        <v>18</v>
      </c>
      <c r="G43" s="23" t="str">
        <f t="shared" si="17"/>
        <v/>
      </c>
      <c r="H43" s="110"/>
      <c r="I43" s="199">
        <v>0.05</v>
      </c>
      <c r="J43" s="197">
        <f t="shared" si="1"/>
        <v>0</v>
      </c>
      <c r="K43" s="196">
        <f t="shared" ref="K43" si="22">+C43*N43</f>
        <v>0</v>
      </c>
      <c r="L43" s="203"/>
      <c r="M43" s="203"/>
      <c r="N43" s="237">
        <f>4/1728</f>
        <v>2.3148148148148147E-3</v>
      </c>
      <c r="O43" s="232">
        <f t="shared" si="4"/>
        <v>0</v>
      </c>
      <c r="P43" s="250">
        <f t="shared" si="5"/>
        <v>2.4096385542168676E-2</v>
      </c>
      <c r="Q43" s="249">
        <f t="shared" si="6"/>
        <v>0</v>
      </c>
    </row>
    <row r="44" spans="1:17" ht="12.75" customHeight="1">
      <c r="A44" s="110"/>
      <c r="B44" s="132" t="s">
        <v>233</v>
      </c>
      <c r="C44" s="54"/>
      <c r="D44" s="132" t="s">
        <v>292</v>
      </c>
      <c r="E44" s="112" t="s">
        <v>135</v>
      </c>
      <c r="F44" s="256">
        <v>2</v>
      </c>
      <c r="G44" s="23" t="str">
        <f t="shared" si="17"/>
        <v/>
      </c>
      <c r="H44" s="110"/>
      <c r="I44" s="198">
        <v>0.02</v>
      </c>
      <c r="J44" s="197">
        <f t="shared" si="1"/>
        <v>0</v>
      </c>
      <c r="K44" s="196">
        <f t="shared" ref="K44:K45" si="23">+C44*N44</f>
        <v>0</v>
      </c>
      <c r="L44" s="203"/>
      <c r="M44" s="203"/>
      <c r="N44" s="237">
        <f>0.25/1728</f>
        <v>1.4467592592592592E-4</v>
      </c>
      <c r="O44" s="232">
        <f t="shared" si="4"/>
        <v>0</v>
      </c>
      <c r="P44" s="250">
        <f t="shared" si="5"/>
        <v>1.5060240963855422E-3</v>
      </c>
      <c r="Q44" s="249">
        <f t="shared" si="6"/>
        <v>0</v>
      </c>
    </row>
    <row r="45" spans="1:17" ht="12.75" customHeight="1">
      <c r="A45" s="110"/>
      <c r="B45" s="132" t="s">
        <v>234</v>
      </c>
      <c r="C45" s="54"/>
      <c r="D45" s="132" t="s">
        <v>293</v>
      </c>
      <c r="E45" s="112" t="s">
        <v>135</v>
      </c>
      <c r="F45" s="256">
        <v>2</v>
      </c>
      <c r="G45" s="23" t="str">
        <f t="shared" si="17"/>
        <v/>
      </c>
      <c r="H45" s="110"/>
      <c r="I45" s="198">
        <v>0.02</v>
      </c>
      <c r="J45" s="197">
        <f t="shared" si="1"/>
        <v>0</v>
      </c>
      <c r="K45" s="196">
        <f t="shared" si="23"/>
        <v>0</v>
      </c>
      <c r="L45" s="203"/>
      <c r="M45" s="203"/>
      <c r="N45" s="237">
        <f>0.2/1728</f>
        <v>1.1574074074074075E-4</v>
      </c>
      <c r="O45" s="232">
        <f t="shared" si="4"/>
        <v>0</v>
      </c>
      <c r="P45" s="250">
        <f t="shared" si="5"/>
        <v>1.2048192771084338E-3</v>
      </c>
      <c r="Q45" s="249">
        <f t="shared" si="6"/>
        <v>0</v>
      </c>
    </row>
    <row r="46" spans="1:17" ht="12.75" customHeight="1">
      <c r="A46" s="110"/>
      <c r="B46" s="132" t="s">
        <v>235</v>
      </c>
      <c r="C46" s="234"/>
      <c r="D46" s="132" t="s">
        <v>294</v>
      </c>
      <c r="E46" s="112" t="s">
        <v>135</v>
      </c>
      <c r="F46" s="256">
        <v>420</v>
      </c>
      <c r="G46" s="23" t="str">
        <f t="shared" si="17"/>
        <v/>
      </c>
      <c r="H46" s="110"/>
      <c r="I46" s="199">
        <v>11.35</v>
      </c>
      <c r="J46" s="197">
        <f t="shared" si="1"/>
        <v>0</v>
      </c>
      <c r="K46" s="196">
        <f t="shared" ref="K46:K47" si="24">+C46*N46</f>
        <v>0</v>
      </c>
      <c r="L46" s="244">
        <f>IF(G46="",0,IF((G46&lt;100),0,IF((ROUND((G46/100)-1,0)*0.9)&lt;2.7,2.7,ROUND((G46/100)-1,0)*0.9)))</f>
        <v>0</v>
      </c>
      <c r="M46" s="203"/>
      <c r="N46" s="237">
        <f>624/1728</f>
        <v>0.3611111111111111</v>
      </c>
      <c r="O46" s="232">
        <f t="shared" si="4"/>
        <v>0</v>
      </c>
      <c r="P46" s="250">
        <f t="shared" si="5"/>
        <v>3.7590361445783134</v>
      </c>
      <c r="Q46" s="249">
        <f t="shared" si="6"/>
        <v>0</v>
      </c>
    </row>
    <row r="47" spans="1:17" ht="12.75" customHeight="1">
      <c r="A47" s="110"/>
      <c r="B47" s="132" t="s">
        <v>236</v>
      </c>
      <c r="C47" s="234"/>
      <c r="D47" s="132" t="s">
        <v>295</v>
      </c>
      <c r="E47" s="112" t="s">
        <v>135</v>
      </c>
      <c r="F47" s="256">
        <v>90</v>
      </c>
      <c r="G47" s="23" t="str">
        <f t="shared" si="17"/>
        <v/>
      </c>
      <c r="H47" s="110"/>
      <c r="I47" s="199">
        <v>2</v>
      </c>
      <c r="J47" s="197">
        <f t="shared" si="1"/>
        <v>0</v>
      </c>
      <c r="K47" s="196">
        <f t="shared" si="24"/>
        <v>0</v>
      </c>
      <c r="L47" s="203"/>
      <c r="M47" s="203"/>
      <c r="N47" s="237">
        <f>1728/1728</f>
        <v>1</v>
      </c>
      <c r="O47" s="232">
        <f t="shared" si="4"/>
        <v>0</v>
      </c>
      <c r="P47" s="250">
        <f t="shared" si="5"/>
        <v>10.409638554216867</v>
      </c>
      <c r="Q47" s="249">
        <f t="shared" si="6"/>
        <v>0</v>
      </c>
    </row>
    <row r="48" spans="1:17" ht="12.75" customHeight="1">
      <c r="A48" s="110"/>
      <c r="B48" s="132" t="s">
        <v>237</v>
      </c>
      <c r="C48" s="54"/>
      <c r="D48" s="132" t="s">
        <v>296</v>
      </c>
      <c r="E48" s="112" t="s">
        <v>135</v>
      </c>
      <c r="F48" s="256">
        <v>20</v>
      </c>
      <c r="G48" s="23" t="str">
        <f t="shared" si="17"/>
        <v/>
      </c>
      <c r="H48" s="110"/>
      <c r="I48" s="199">
        <v>0.73</v>
      </c>
      <c r="J48" s="197">
        <f t="shared" si="1"/>
        <v>0</v>
      </c>
      <c r="K48" s="196">
        <f t="shared" ref="K48" si="25">+C48*N48</f>
        <v>0</v>
      </c>
      <c r="L48" s="203"/>
      <c r="M48" s="203"/>
      <c r="N48" s="237">
        <f>8/1728</f>
        <v>4.6296296296296294E-3</v>
      </c>
      <c r="O48" s="232">
        <f t="shared" si="4"/>
        <v>0</v>
      </c>
      <c r="P48" s="250">
        <f t="shared" si="5"/>
        <v>4.8192771084337352E-2</v>
      </c>
      <c r="Q48" s="249">
        <f t="shared" si="6"/>
        <v>0</v>
      </c>
    </row>
    <row r="49" spans="1:17" ht="12.75" customHeight="1">
      <c r="A49" s="110"/>
      <c r="B49" s="132" t="s">
        <v>238</v>
      </c>
      <c r="C49" s="54"/>
      <c r="D49" s="132" t="s">
        <v>297</v>
      </c>
      <c r="E49" s="112" t="s">
        <v>135</v>
      </c>
      <c r="F49" s="256">
        <v>10</v>
      </c>
      <c r="G49" s="23" t="str">
        <f t="shared" si="17"/>
        <v/>
      </c>
      <c r="H49" s="110"/>
      <c r="I49" s="199">
        <v>0.03</v>
      </c>
      <c r="J49" s="197">
        <f t="shared" si="1"/>
        <v>0</v>
      </c>
      <c r="K49" s="196">
        <f t="shared" ref="K49" si="26">+C49*N49</f>
        <v>0</v>
      </c>
      <c r="L49" s="203"/>
      <c r="M49" s="203"/>
      <c r="N49" s="237">
        <f>3/1728</f>
        <v>1.736111111111111E-3</v>
      </c>
      <c r="O49" s="232">
        <f t="shared" si="4"/>
        <v>0</v>
      </c>
      <c r="P49" s="250">
        <f t="shared" si="5"/>
        <v>1.8072289156626505E-2</v>
      </c>
      <c r="Q49" s="249">
        <f t="shared" si="6"/>
        <v>0</v>
      </c>
    </row>
    <row r="50" spans="1:17" ht="12.75" customHeight="1">
      <c r="A50" s="110"/>
      <c r="B50" s="132" t="s">
        <v>239</v>
      </c>
      <c r="C50" s="234"/>
      <c r="D50" s="132" t="s">
        <v>298</v>
      </c>
      <c r="E50" s="112" t="s">
        <v>135</v>
      </c>
      <c r="F50" s="256">
        <v>10</v>
      </c>
      <c r="G50" s="23" t="str">
        <f t="shared" si="17"/>
        <v/>
      </c>
      <c r="H50" s="110"/>
      <c r="I50" s="198">
        <v>0.02</v>
      </c>
      <c r="J50" s="197">
        <f t="shared" si="1"/>
        <v>0</v>
      </c>
      <c r="K50" s="196">
        <f t="shared" ref="K50:K51" si="27">+C50*N50</f>
        <v>0</v>
      </c>
      <c r="L50" s="203"/>
      <c r="M50" s="203"/>
      <c r="N50" s="237">
        <f>3/1728</f>
        <v>1.736111111111111E-3</v>
      </c>
      <c r="O50" s="232">
        <f t="shared" si="4"/>
        <v>0</v>
      </c>
      <c r="P50" s="250">
        <f t="shared" si="5"/>
        <v>1.8072289156626505E-2</v>
      </c>
      <c r="Q50" s="249">
        <f t="shared" si="6"/>
        <v>0</v>
      </c>
    </row>
    <row r="51" spans="1:17" ht="12.75" customHeight="1">
      <c r="A51" s="110"/>
      <c r="B51" s="132" t="s">
        <v>240</v>
      </c>
      <c r="C51" s="54"/>
      <c r="D51" s="132" t="s">
        <v>299</v>
      </c>
      <c r="E51" s="112" t="s">
        <v>135</v>
      </c>
      <c r="F51" s="256">
        <v>20</v>
      </c>
      <c r="G51" s="23" t="str">
        <f t="shared" si="17"/>
        <v/>
      </c>
      <c r="H51" s="110"/>
      <c r="I51" s="199">
        <v>1.03</v>
      </c>
      <c r="J51" s="197">
        <f t="shared" si="1"/>
        <v>0</v>
      </c>
      <c r="K51" s="196">
        <f t="shared" si="27"/>
        <v>0</v>
      </c>
      <c r="L51" s="203"/>
      <c r="M51" s="203"/>
      <c r="N51" s="237">
        <f>11/1728</f>
        <v>6.3657407407407404E-3</v>
      </c>
      <c r="O51" s="232">
        <f t="shared" si="4"/>
        <v>0</v>
      </c>
      <c r="P51" s="250">
        <f t="shared" si="5"/>
        <v>6.6265060240963861E-2</v>
      </c>
      <c r="Q51" s="249">
        <f t="shared" si="6"/>
        <v>0</v>
      </c>
    </row>
    <row r="52" spans="1:17" ht="12.75" customHeight="1">
      <c r="A52" s="110"/>
      <c r="B52" s="132" t="s">
        <v>241</v>
      </c>
      <c r="C52" s="54"/>
      <c r="D52" s="132" t="s">
        <v>300</v>
      </c>
      <c r="E52" s="112" t="s">
        <v>135</v>
      </c>
      <c r="F52" s="256">
        <v>90</v>
      </c>
      <c r="G52" s="23" t="str">
        <f t="shared" si="17"/>
        <v/>
      </c>
      <c r="H52" s="110"/>
      <c r="I52" s="199">
        <v>1</v>
      </c>
      <c r="J52" s="197">
        <f t="shared" si="1"/>
        <v>0</v>
      </c>
      <c r="K52" s="196">
        <f t="shared" ref="K52" si="28">+C52*N52</f>
        <v>0</v>
      </c>
      <c r="L52" s="203"/>
      <c r="M52" s="203"/>
      <c r="N52" s="237">
        <f>1080/1728</f>
        <v>0.625</v>
      </c>
      <c r="O52" s="232">
        <f t="shared" si="4"/>
        <v>0</v>
      </c>
      <c r="P52" s="250">
        <f t="shared" si="5"/>
        <v>6.5060240963855422</v>
      </c>
      <c r="Q52" s="249">
        <f t="shared" si="6"/>
        <v>0</v>
      </c>
    </row>
    <row r="53" spans="1:17" ht="12.75" customHeight="1">
      <c r="A53" s="110"/>
      <c r="B53" s="132" t="s">
        <v>242</v>
      </c>
      <c r="C53" s="54"/>
      <c r="D53" s="132" t="s">
        <v>301</v>
      </c>
      <c r="E53" s="112" t="s">
        <v>135</v>
      </c>
      <c r="F53" s="256">
        <v>240</v>
      </c>
      <c r="G53" s="23" t="str">
        <f t="shared" si="17"/>
        <v/>
      </c>
      <c r="H53" s="110"/>
      <c r="I53" s="199">
        <v>10.14</v>
      </c>
      <c r="J53" s="197">
        <f t="shared" si="1"/>
        <v>0</v>
      </c>
      <c r="K53" s="196">
        <f t="shared" ref="K53" si="29">+C53*N53</f>
        <v>0</v>
      </c>
      <c r="L53" s="244">
        <f>IF(G53="",0,IF((G53&lt;100),0,IF((ROUND((G53/100)-1,0)*0.9)&lt;2.7,2.7,ROUND((G53/100)-1,0)*0.9)))</f>
        <v>0</v>
      </c>
      <c r="M53" s="203"/>
      <c r="N53" s="237">
        <f>360/1728</f>
        <v>0.20833333333333334</v>
      </c>
      <c r="O53" s="232">
        <f t="shared" si="4"/>
        <v>0</v>
      </c>
      <c r="P53" s="250">
        <f t="shared" si="5"/>
        <v>2.1686746987951806</v>
      </c>
      <c r="Q53" s="249">
        <f t="shared" si="6"/>
        <v>0</v>
      </c>
    </row>
    <row r="54" spans="1:17" ht="12.75" customHeight="1">
      <c r="A54" s="110"/>
      <c r="B54" s="132" t="s">
        <v>243</v>
      </c>
      <c r="C54" s="54"/>
      <c r="D54" s="132" t="s">
        <v>302</v>
      </c>
      <c r="E54" s="112" t="s">
        <v>135</v>
      </c>
      <c r="F54" s="256">
        <v>4</v>
      </c>
      <c r="G54" s="23" t="str">
        <f t="shared" si="17"/>
        <v/>
      </c>
      <c r="H54" s="110"/>
      <c r="I54" s="199">
        <v>0.05</v>
      </c>
      <c r="J54" s="197">
        <f t="shared" si="1"/>
        <v>0</v>
      </c>
      <c r="K54" s="196">
        <f t="shared" ref="K54" si="30">+C54*N54</f>
        <v>0</v>
      </c>
      <c r="L54" s="203"/>
      <c r="M54" s="203"/>
      <c r="N54" s="237">
        <f>2/1728</f>
        <v>1.1574074074074073E-3</v>
      </c>
      <c r="O54" s="232">
        <f t="shared" si="4"/>
        <v>0</v>
      </c>
      <c r="P54" s="250">
        <f t="shared" si="5"/>
        <v>1.2048192771084338E-2</v>
      </c>
      <c r="Q54" s="249">
        <f t="shared" si="6"/>
        <v>0</v>
      </c>
    </row>
    <row r="55" spans="1:17" ht="12.75" customHeight="1">
      <c r="A55" s="110"/>
      <c r="B55" s="132" t="s">
        <v>244</v>
      </c>
      <c r="C55" s="54"/>
      <c r="D55" s="132" t="s">
        <v>303</v>
      </c>
      <c r="E55" s="112" t="s">
        <v>135</v>
      </c>
      <c r="F55" s="256">
        <v>6</v>
      </c>
      <c r="G55" s="23" t="str">
        <f t="shared" si="17"/>
        <v/>
      </c>
      <c r="H55" s="110"/>
      <c r="I55" s="198">
        <v>0.03</v>
      </c>
      <c r="J55" s="197">
        <f t="shared" si="1"/>
        <v>0</v>
      </c>
      <c r="K55" s="196">
        <f t="shared" ref="K55" si="31">+C55*N55</f>
        <v>0</v>
      </c>
      <c r="L55" s="203"/>
      <c r="M55" s="203"/>
      <c r="N55" s="237">
        <f>3.2/1728</f>
        <v>1.8518518518518519E-3</v>
      </c>
      <c r="O55" s="232">
        <f t="shared" si="4"/>
        <v>0</v>
      </c>
      <c r="P55" s="250">
        <f t="shared" si="5"/>
        <v>1.9277108433734941E-2</v>
      </c>
      <c r="Q55" s="249">
        <f t="shared" si="6"/>
        <v>0</v>
      </c>
    </row>
    <row r="56" spans="1:17" ht="12.75" customHeight="1">
      <c r="A56" s="110"/>
      <c r="B56" s="132" t="s">
        <v>245</v>
      </c>
      <c r="C56" s="54"/>
      <c r="D56" s="132" t="s">
        <v>304</v>
      </c>
      <c r="E56" s="112" t="s">
        <v>135</v>
      </c>
      <c r="F56" s="256">
        <v>4</v>
      </c>
      <c r="G56" s="23" t="str">
        <f t="shared" si="17"/>
        <v/>
      </c>
      <c r="H56" s="110"/>
      <c r="I56" s="198">
        <v>0.03</v>
      </c>
      <c r="J56" s="197">
        <f t="shared" si="1"/>
        <v>0</v>
      </c>
      <c r="K56" s="196">
        <f t="shared" ref="K56" si="32">+C56*N56</f>
        <v>0</v>
      </c>
      <c r="L56" s="203"/>
      <c r="M56" s="203"/>
      <c r="N56" s="237">
        <f>1/1728</f>
        <v>5.7870370370370367E-4</v>
      </c>
      <c r="O56" s="232">
        <f t="shared" si="4"/>
        <v>0</v>
      </c>
      <c r="P56" s="250">
        <f t="shared" si="5"/>
        <v>6.024096385542169E-3</v>
      </c>
      <c r="Q56" s="249">
        <f t="shared" si="6"/>
        <v>0</v>
      </c>
    </row>
    <row r="57" spans="1:17" ht="12.75" customHeight="1">
      <c r="A57" s="110"/>
      <c r="B57" s="132" t="s">
        <v>246</v>
      </c>
      <c r="C57" s="54"/>
      <c r="D57" s="132" t="s">
        <v>305</v>
      </c>
      <c r="E57" s="112" t="s">
        <v>135</v>
      </c>
      <c r="F57" s="256">
        <v>46</v>
      </c>
      <c r="G57" s="23" t="str">
        <f t="shared" si="17"/>
        <v/>
      </c>
      <c r="H57" s="110"/>
      <c r="I57" s="199">
        <v>0.08</v>
      </c>
      <c r="J57" s="197">
        <f t="shared" si="1"/>
        <v>0</v>
      </c>
      <c r="K57" s="196">
        <f t="shared" ref="K57" si="33">+C57*N57</f>
        <v>0</v>
      </c>
      <c r="L57" s="203"/>
      <c r="M57" s="203"/>
      <c r="N57" s="237">
        <f>4/1728</f>
        <v>2.3148148148148147E-3</v>
      </c>
      <c r="O57" s="232">
        <f t="shared" si="4"/>
        <v>0</v>
      </c>
      <c r="P57" s="250">
        <f t="shared" si="5"/>
        <v>2.4096385542168676E-2</v>
      </c>
      <c r="Q57" s="249">
        <f t="shared" si="6"/>
        <v>0</v>
      </c>
    </row>
    <row r="58" spans="1:17" ht="12.75" customHeight="1">
      <c r="A58" s="110"/>
      <c r="B58" s="132" t="s">
        <v>247</v>
      </c>
      <c r="C58" s="54"/>
      <c r="D58" s="132" t="s">
        <v>306</v>
      </c>
      <c r="E58" s="112" t="s">
        <v>135</v>
      </c>
      <c r="F58" s="256">
        <v>2</v>
      </c>
      <c r="G58" s="23" t="str">
        <f t="shared" si="17"/>
        <v/>
      </c>
      <c r="H58" s="110"/>
      <c r="I58" s="199">
        <v>0.04</v>
      </c>
      <c r="J58" s="197">
        <f t="shared" si="1"/>
        <v>0</v>
      </c>
      <c r="K58" s="196">
        <f t="shared" ref="K58:K59" si="34">+C58*N58</f>
        <v>0</v>
      </c>
      <c r="L58" s="203"/>
      <c r="M58" s="203"/>
      <c r="N58" s="237">
        <f>0.13/1728</f>
        <v>7.5231481481481487E-5</v>
      </c>
      <c r="O58" s="232">
        <f t="shared" si="4"/>
        <v>0</v>
      </c>
      <c r="P58" s="250">
        <f t="shared" si="5"/>
        <v>7.8313253012048199E-4</v>
      </c>
      <c r="Q58" s="249">
        <f t="shared" si="6"/>
        <v>0</v>
      </c>
    </row>
    <row r="59" spans="1:17" ht="12.75" customHeight="1">
      <c r="A59" s="110"/>
      <c r="B59" s="132" t="s">
        <v>393</v>
      </c>
      <c r="C59" s="234"/>
      <c r="D59" s="132" t="s">
        <v>392</v>
      </c>
      <c r="E59" s="112" t="s">
        <v>135</v>
      </c>
      <c r="F59" s="256">
        <v>2</v>
      </c>
      <c r="G59" s="23" t="str">
        <f t="shared" ref="G59" si="35">IF(C59&gt;0,+(C59*F59),"")</f>
        <v/>
      </c>
      <c r="H59" s="110"/>
      <c r="I59" s="199">
        <v>0.02</v>
      </c>
      <c r="J59" s="197">
        <f t="shared" ref="J59" si="36">+C59*I59</f>
        <v>0</v>
      </c>
      <c r="K59" s="196">
        <f t="shared" si="34"/>
        <v>0</v>
      </c>
      <c r="L59" s="203"/>
      <c r="M59" s="203"/>
      <c r="N59" s="237">
        <f>0.2/1728</f>
        <v>1.1574074074074075E-4</v>
      </c>
      <c r="O59" s="232">
        <f t="shared" ref="O59" si="37">+C59*N59</f>
        <v>0</v>
      </c>
      <c r="P59" s="250">
        <f t="shared" si="5"/>
        <v>1.2048192771084338E-3</v>
      </c>
      <c r="Q59" s="249">
        <f t="shared" si="6"/>
        <v>0</v>
      </c>
    </row>
    <row r="60" spans="1:17" ht="12.75" customHeight="1">
      <c r="A60" s="110"/>
      <c r="B60" s="132" t="s">
        <v>248</v>
      </c>
      <c r="C60" s="234"/>
      <c r="D60" s="132" t="s">
        <v>307</v>
      </c>
      <c r="E60" s="112" t="s">
        <v>135</v>
      </c>
      <c r="F60" s="256">
        <v>20</v>
      </c>
      <c r="G60" s="23" t="str">
        <f t="shared" si="17"/>
        <v/>
      </c>
      <c r="H60" s="110"/>
      <c r="I60" s="199">
        <v>0.2</v>
      </c>
      <c r="J60" s="197">
        <f t="shared" si="1"/>
        <v>0</v>
      </c>
      <c r="K60" s="196">
        <f t="shared" ref="K60" si="38">+C60*N60</f>
        <v>0</v>
      </c>
      <c r="L60" s="203"/>
      <c r="M60" s="203"/>
      <c r="N60" s="237">
        <f>6/1728</f>
        <v>3.472222222222222E-3</v>
      </c>
      <c r="O60" s="232">
        <f t="shared" si="4"/>
        <v>0</v>
      </c>
      <c r="P60" s="250">
        <f t="shared" si="5"/>
        <v>3.614457831325301E-2</v>
      </c>
      <c r="Q60" s="249">
        <f t="shared" si="6"/>
        <v>0</v>
      </c>
    </row>
    <row r="61" spans="1:17" ht="12.75" customHeight="1">
      <c r="A61" s="110"/>
      <c r="B61" s="132" t="s">
        <v>249</v>
      </c>
      <c r="C61" s="54"/>
      <c r="D61" s="132" t="s">
        <v>308</v>
      </c>
      <c r="E61" s="112" t="s">
        <v>135</v>
      </c>
      <c r="F61" s="256">
        <v>46</v>
      </c>
      <c r="G61" s="23" t="str">
        <f t="shared" si="17"/>
        <v/>
      </c>
      <c r="H61" s="110"/>
      <c r="I61" s="199">
        <v>0.71</v>
      </c>
      <c r="J61" s="197">
        <f t="shared" si="1"/>
        <v>0</v>
      </c>
      <c r="K61" s="196">
        <f t="shared" ref="K61" si="39">+C61*N61</f>
        <v>0</v>
      </c>
      <c r="L61" s="203"/>
      <c r="M61" s="203"/>
      <c r="N61" s="237">
        <f>8/1728</f>
        <v>4.6296296296296294E-3</v>
      </c>
      <c r="O61" s="232">
        <f t="shared" si="4"/>
        <v>0</v>
      </c>
      <c r="P61" s="250">
        <f t="shared" si="5"/>
        <v>4.8192771084337352E-2</v>
      </c>
      <c r="Q61" s="249">
        <f t="shared" si="6"/>
        <v>0</v>
      </c>
    </row>
    <row r="62" spans="1:17" ht="12.75" customHeight="1">
      <c r="A62" s="110"/>
      <c r="B62" s="132" t="s">
        <v>250</v>
      </c>
      <c r="C62" s="54"/>
      <c r="D62" s="132" t="s">
        <v>309</v>
      </c>
      <c r="E62" s="112" t="s">
        <v>135</v>
      </c>
      <c r="F62" s="256">
        <v>2</v>
      </c>
      <c r="G62" s="23" t="str">
        <f t="shared" si="17"/>
        <v/>
      </c>
      <c r="H62" s="110"/>
      <c r="I62" s="199">
        <v>0.05</v>
      </c>
      <c r="J62" s="197">
        <f t="shared" si="1"/>
        <v>0</v>
      </c>
      <c r="K62" s="196">
        <f t="shared" ref="K62" si="40">+C62*N62</f>
        <v>0</v>
      </c>
      <c r="L62" s="203"/>
      <c r="M62" s="203"/>
      <c r="N62" s="237">
        <f>0.25/1728</f>
        <v>1.4467592592592592E-4</v>
      </c>
      <c r="O62" s="232">
        <f t="shared" si="4"/>
        <v>0</v>
      </c>
      <c r="P62" s="250">
        <f t="shared" si="5"/>
        <v>1.5060240963855422E-3</v>
      </c>
      <c r="Q62" s="249">
        <f t="shared" si="6"/>
        <v>0</v>
      </c>
    </row>
    <row r="63" spans="1:17" ht="12.75" customHeight="1">
      <c r="A63" s="110"/>
      <c r="B63" s="132" t="s">
        <v>251</v>
      </c>
      <c r="C63" s="54"/>
      <c r="D63" s="132" t="s">
        <v>310</v>
      </c>
      <c r="E63" s="112" t="s">
        <v>135</v>
      </c>
      <c r="F63" s="256">
        <v>24</v>
      </c>
      <c r="G63" s="23" t="str">
        <f t="shared" si="17"/>
        <v/>
      </c>
      <c r="H63" s="110"/>
      <c r="I63" s="198">
        <v>0.75</v>
      </c>
      <c r="J63" s="197">
        <f t="shared" si="1"/>
        <v>0</v>
      </c>
      <c r="K63" s="196">
        <f t="shared" ref="K63:K64" si="41">+C63*N63</f>
        <v>0</v>
      </c>
      <c r="L63" s="203"/>
      <c r="M63" s="203"/>
      <c r="N63" s="237">
        <f>18/1728</f>
        <v>1.0416666666666666E-2</v>
      </c>
      <c r="O63" s="232">
        <f t="shared" si="4"/>
        <v>0</v>
      </c>
      <c r="P63" s="250">
        <f t="shared" si="5"/>
        <v>0.10843373493975904</v>
      </c>
      <c r="Q63" s="249">
        <f t="shared" si="6"/>
        <v>0</v>
      </c>
    </row>
    <row r="64" spans="1:17" ht="12.75" customHeight="1">
      <c r="A64" s="110"/>
      <c r="B64" s="132" t="s">
        <v>660</v>
      </c>
      <c r="C64" s="234"/>
      <c r="D64" s="132" t="s">
        <v>661</v>
      </c>
      <c r="E64" s="112" t="s">
        <v>135</v>
      </c>
      <c r="F64" s="256">
        <v>2</v>
      </c>
      <c r="G64" s="23" t="str">
        <f t="shared" ref="G64" si="42">IF(C64&gt;0,+(C64*F64),"")</f>
        <v/>
      </c>
      <c r="H64" s="110"/>
      <c r="I64" s="198">
        <v>0.02</v>
      </c>
      <c r="J64" s="197">
        <f t="shared" ref="J64" si="43">+C64*I64</f>
        <v>0</v>
      </c>
      <c r="K64" s="196">
        <f t="shared" si="41"/>
        <v>0</v>
      </c>
      <c r="L64" s="203"/>
      <c r="M64" s="203"/>
      <c r="N64" s="237">
        <f>0.2/1728</f>
        <v>1.1574074074074075E-4</v>
      </c>
      <c r="O64" s="232">
        <f t="shared" ref="O64" si="44">+C64*N64</f>
        <v>0</v>
      </c>
      <c r="P64" s="250">
        <f t="shared" ref="P64" si="45">((+N64*1728)/166)</f>
        <v>1.2048192771084338E-3</v>
      </c>
      <c r="Q64" s="249">
        <f t="shared" ref="Q64" si="46">IF(P64&gt;I64,+P64*C64,+I64*C64)</f>
        <v>0</v>
      </c>
    </row>
    <row r="65" spans="1:17" ht="12.75" customHeight="1">
      <c r="A65" s="110"/>
      <c r="B65" s="132" t="s">
        <v>252</v>
      </c>
      <c r="C65" s="54"/>
      <c r="D65" s="132" t="s">
        <v>311</v>
      </c>
      <c r="E65" s="112" t="s">
        <v>135</v>
      </c>
      <c r="F65" s="256">
        <v>4</v>
      </c>
      <c r="G65" s="23" t="str">
        <f t="shared" si="17"/>
        <v/>
      </c>
      <c r="H65" s="110"/>
      <c r="I65" s="199">
        <v>0.1</v>
      </c>
      <c r="J65" s="197">
        <f t="shared" si="1"/>
        <v>0</v>
      </c>
      <c r="K65" s="196">
        <f t="shared" ref="K65" si="47">+C65*N65</f>
        <v>0</v>
      </c>
      <c r="L65" s="203"/>
      <c r="M65" s="203"/>
      <c r="N65" s="237">
        <f>1/1728</f>
        <v>5.7870370370370367E-4</v>
      </c>
      <c r="O65" s="232">
        <f t="shared" si="4"/>
        <v>0</v>
      </c>
      <c r="P65" s="250">
        <f t="shared" si="5"/>
        <v>6.024096385542169E-3</v>
      </c>
      <c r="Q65" s="249">
        <f t="shared" si="6"/>
        <v>0</v>
      </c>
    </row>
    <row r="66" spans="1:17" ht="12.75" customHeight="1">
      <c r="A66" s="110"/>
      <c r="B66" s="132" t="s">
        <v>253</v>
      </c>
      <c r="C66" s="54"/>
      <c r="D66" s="132" t="s">
        <v>312</v>
      </c>
      <c r="E66" s="112" t="s">
        <v>135</v>
      </c>
      <c r="F66" s="256">
        <v>20</v>
      </c>
      <c r="G66" s="23" t="str">
        <f t="shared" si="17"/>
        <v/>
      </c>
      <c r="H66" s="110"/>
      <c r="I66" s="199">
        <v>0.5</v>
      </c>
      <c r="J66" s="197">
        <f t="shared" si="1"/>
        <v>0</v>
      </c>
      <c r="K66" s="196">
        <f t="shared" ref="K66" si="48">+C66*N66</f>
        <v>0</v>
      </c>
      <c r="L66" s="203"/>
      <c r="M66" s="203"/>
      <c r="N66" s="237">
        <f>4/1728</f>
        <v>2.3148148148148147E-3</v>
      </c>
      <c r="O66" s="232">
        <f t="shared" si="4"/>
        <v>0</v>
      </c>
      <c r="P66" s="250">
        <f t="shared" si="5"/>
        <v>2.4096385542168676E-2</v>
      </c>
      <c r="Q66" s="249">
        <f t="shared" si="6"/>
        <v>0</v>
      </c>
    </row>
    <row r="67" spans="1:17" ht="12.75" customHeight="1">
      <c r="A67" s="110"/>
      <c r="B67" s="132" t="s">
        <v>254</v>
      </c>
      <c r="C67" s="54"/>
      <c r="D67" s="132" t="s">
        <v>313</v>
      </c>
      <c r="E67" s="112" t="s">
        <v>135</v>
      </c>
      <c r="F67" s="256">
        <v>22</v>
      </c>
      <c r="G67" s="23" t="str">
        <f t="shared" si="17"/>
        <v/>
      </c>
      <c r="H67" s="110"/>
      <c r="I67" s="199">
        <v>1.3</v>
      </c>
      <c r="J67" s="197">
        <f t="shared" si="1"/>
        <v>0</v>
      </c>
      <c r="K67" s="196">
        <f t="shared" ref="K67" si="49">+C67*N67</f>
        <v>0</v>
      </c>
      <c r="L67" s="203"/>
      <c r="M67" s="203"/>
      <c r="N67" s="237">
        <f>8/1728</f>
        <v>4.6296296296296294E-3</v>
      </c>
      <c r="O67" s="232">
        <f t="shared" si="4"/>
        <v>0</v>
      </c>
      <c r="P67" s="250">
        <f t="shared" si="5"/>
        <v>4.8192771084337352E-2</v>
      </c>
      <c r="Q67" s="249">
        <f t="shared" si="6"/>
        <v>0</v>
      </c>
    </row>
    <row r="68" spans="1:17" ht="12.75" customHeight="1">
      <c r="A68" s="110"/>
      <c r="B68" s="132" t="s">
        <v>255</v>
      </c>
      <c r="C68" s="54"/>
      <c r="D68" s="132" t="s">
        <v>314</v>
      </c>
      <c r="E68" s="112" t="s">
        <v>135</v>
      </c>
      <c r="F68" s="256">
        <v>65</v>
      </c>
      <c r="G68" s="23" t="str">
        <f t="shared" si="17"/>
        <v/>
      </c>
      <c r="H68" s="110"/>
      <c r="I68" s="198">
        <v>2</v>
      </c>
      <c r="J68" s="197">
        <f t="shared" si="1"/>
        <v>0</v>
      </c>
      <c r="K68" s="196">
        <f t="shared" ref="K68:K69" si="50">+C68*N68</f>
        <v>0</v>
      </c>
      <c r="L68" s="203"/>
      <c r="M68" s="203"/>
      <c r="N68" s="237">
        <f>75/1728</f>
        <v>4.3402777777777776E-2</v>
      </c>
      <c r="O68" s="232">
        <f t="shared" si="4"/>
        <v>0</v>
      </c>
      <c r="P68" s="250">
        <f t="shared" si="5"/>
        <v>0.45180722891566266</v>
      </c>
      <c r="Q68" s="249">
        <f t="shared" si="6"/>
        <v>0</v>
      </c>
    </row>
    <row r="69" spans="1:17" ht="12.75" customHeight="1">
      <c r="A69" s="110"/>
      <c r="B69" s="132" t="s">
        <v>256</v>
      </c>
      <c r="C69" s="54"/>
      <c r="D69" s="132" t="s">
        <v>315</v>
      </c>
      <c r="E69" s="112" t="s">
        <v>135</v>
      </c>
      <c r="F69" s="256">
        <v>2</v>
      </c>
      <c r="G69" s="23" t="str">
        <f t="shared" si="17"/>
        <v/>
      </c>
      <c r="H69" s="110"/>
      <c r="I69" s="199">
        <v>0.02</v>
      </c>
      <c r="J69" s="197">
        <f t="shared" si="1"/>
        <v>0</v>
      </c>
      <c r="K69" s="196">
        <f t="shared" si="50"/>
        <v>0</v>
      </c>
      <c r="L69" s="203"/>
      <c r="M69" s="203"/>
      <c r="N69" s="237">
        <f>0.25/1728</f>
        <v>1.4467592592592592E-4</v>
      </c>
      <c r="O69" s="232">
        <f t="shared" si="4"/>
        <v>0</v>
      </c>
      <c r="P69" s="250">
        <f t="shared" si="5"/>
        <v>1.5060240963855422E-3</v>
      </c>
      <c r="Q69" s="249">
        <f t="shared" si="6"/>
        <v>0</v>
      </c>
    </row>
    <row r="70" spans="1:17" ht="12.75" customHeight="1">
      <c r="A70" s="110"/>
      <c r="B70" s="132" t="s">
        <v>257</v>
      </c>
      <c r="C70" s="54"/>
      <c r="D70" s="132" t="s">
        <v>316</v>
      </c>
      <c r="E70" s="112" t="s">
        <v>135</v>
      </c>
      <c r="F70" s="256">
        <v>16</v>
      </c>
      <c r="G70" s="23" t="str">
        <f t="shared" si="17"/>
        <v/>
      </c>
      <c r="H70" s="110"/>
      <c r="I70" s="199">
        <v>0.32</v>
      </c>
      <c r="J70" s="197">
        <f t="shared" si="1"/>
        <v>0</v>
      </c>
      <c r="K70" s="196">
        <f t="shared" ref="K70:K71" si="51">+C70*N70</f>
        <v>0</v>
      </c>
      <c r="L70" s="203"/>
      <c r="M70" s="203"/>
      <c r="N70" s="237">
        <f>25/1728</f>
        <v>1.4467592592592593E-2</v>
      </c>
      <c r="O70" s="232">
        <f t="shared" si="4"/>
        <v>0</v>
      </c>
      <c r="P70" s="250">
        <f t="shared" si="5"/>
        <v>0.15060240963855423</v>
      </c>
      <c r="Q70" s="249">
        <f t="shared" si="6"/>
        <v>0</v>
      </c>
    </row>
    <row r="71" spans="1:17" ht="12.75" customHeight="1">
      <c r="A71" s="110"/>
      <c r="B71" s="132" t="s">
        <v>498</v>
      </c>
      <c r="C71" s="234"/>
      <c r="D71" s="132" t="s">
        <v>499</v>
      </c>
      <c r="E71" s="112" t="s">
        <v>135</v>
      </c>
      <c r="F71" s="256">
        <v>2</v>
      </c>
      <c r="G71" s="23" t="str">
        <f t="shared" si="17"/>
        <v/>
      </c>
      <c r="H71" s="110"/>
      <c r="I71" s="199">
        <v>0.02</v>
      </c>
      <c r="J71" s="197">
        <f t="shared" si="1"/>
        <v>0</v>
      </c>
      <c r="K71" s="196">
        <f t="shared" si="51"/>
        <v>0</v>
      </c>
      <c r="L71" s="203"/>
      <c r="M71" s="203"/>
      <c r="N71" s="237">
        <f>0.2/1728</f>
        <v>1.1574074074074075E-4</v>
      </c>
      <c r="O71" s="232">
        <f t="shared" si="4"/>
        <v>0</v>
      </c>
      <c r="P71" s="250">
        <f t="shared" ref="P71" si="52">((+N71*1728)/166)</f>
        <v>1.2048192771084338E-3</v>
      </c>
      <c r="Q71" s="249">
        <f t="shared" ref="Q71" si="53">IF(P71&gt;I71,+P71*C71,+I71*C71)</f>
        <v>0</v>
      </c>
    </row>
    <row r="72" spans="1:17" ht="12.75" customHeight="1">
      <c r="A72" s="110"/>
      <c r="B72" s="132" t="s">
        <v>258</v>
      </c>
      <c r="C72" s="54"/>
      <c r="D72" s="132" t="s">
        <v>317</v>
      </c>
      <c r="E72" s="112" t="s">
        <v>135</v>
      </c>
      <c r="F72" s="256">
        <v>46</v>
      </c>
      <c r="G72" s="23" t="str">
        <f t="shared" si="17"/>
        <v/>
      </c>
      <c r="H72" s="110"/>
      <c r="I72" s="199">
        <v>0.5</v>
      </c>
      <c r="J72" s="197">
        <f t="shared" si="1"/>
        <v>0</v>
      </c>
      <c r="K72" s="196">
        <f>+C72/14</f>
        <v>0</v>
      </c>
      <c r="L72" s="203"/>
      <c r="M72" s="208"/>
      <c r="N72" s="237">
        <f>24/1728</f>
        <v>1.3888888888888888E-2</v>
      </c>
      <c r="O72" s="232">
        <f t="shared" si="4"/>
        <v>0</v>
      </c>
      <c r="P72" s="250">
        <f t="shared" si="5"/>
        <v>0.14457831325301204</v>
      </c>
      <c r="Q72" s="249">
        <f t="shared" si="6"/>
        <v>0</v>
      </c>
    </row>
    <row r="73" spans="1:17" ht="12.75" customHeight="1">
      <c r="A73" s="110"/>
      <c r="B73" s="132" t="s">
        <v>259</v>
      </c>
      <c r="C73" s="54"/>
      <c r="D73" s="132" t="s">
        <v>318</v>
      </c>
      <c r="E73" s="112" t="s">
        <v>135</v>
      </c>
      <c r="F73" s="256">
        <v>2</v>
      </c>
      <c r="G73" s="23" t="str">
        <f t="shared" si="17"/>
        <v/>
      </c>
      <c r="H73" s="110"/>
      <c r="I73" s="198">
        <v>0.02</v>
      </c>
      <c r="J73" s="197">
        <f t="shared" si="1"/>
        <v>0</v>
      </c>
      <c r="K73" s="196">
        <f>+C73/14</f>
        <v>0</v>
      </c>
      <c r="L73" s="203"/>
      <c r="M73" s="208"/>
      <c r="N73" s="237">
        <f>1/1728</f>
        <v>5.7870370370370367E-4</v>
      </c>
      <c r="O73" s="232">
        <f t="shared" si="4"/>
        <v>0</v>
      </c>
      <c r="P73" s="250">
        <f t="shared" si="5"/>
        <v>6.024096385542169E-3</v>
      </c>
      <c r="Q73" s="249">
        <f t="shared" si="6"/>
        <v>0</v>
      </c>
    </row>
    <row r="74" spans="1:17" ht="12.75" customHeight="1">
      <c r="A74" s="110"/>
      <c r="B74" s="132" t="s">
        <v>260</v>
      </c>
      <c r="C74" s="234"/>
      <c r="D74" s="132" t="s">
        <v>319</v>
      </c>
      <c r="E74" s="112" t="s">
        <v>135</v>
      </c>
      <c r="F74" s="256">
        <v>2</v>
      </c>
      <c r="G74" s="23" t="str">
        <f>IF(C74&gt;0,+(C74*F74),"")</f>
        <v/>
      </c>
      <c r="H74" s="110"/>
      <c r="I74" s="198">
        <v>0.02</v>
      </c>
      <c r="J74" s="197">
        <f>+C74*I74</f>
        <v>0</v>
      </c>
      <c r="K74" s="196">
        <f>+C74/14</f>
        <v>0</v>
      </c>
      <c r="L74" s="203"/>
      <c r="M74" s="208"/>
      <c r="N74" s="237">
        <f>1/1728</f>
        <v>5.7870370370370367E-4</v>
      </c>
      <c r="O74" s="232">
        <f t="shared" ref="O74:O75" si="54">+C74*N74</f>
        <v>0</v>
      </c>
      <c r="P74" s="250">
        <f t="shared" ref="P74:P75" si="55">((+N74*1728)/166)</f>
        <v>6.024096385542169E-3</v>
      </c>
      <c r="Q74" s="249">
        <f t="shared" ref="Q74:Q75" si="56">IF(P74&gt;I74,+P74*C74,+I74*C74)</f>
        <v>0</v>
      </c>
    </row>
    <row r="75" spans="1:17" ht="12.75" customHeight="1">
      <c r="A75" s="110"/>
      <c r="B75" s="132" t="s">
        <v>261</v>
      </c>
      <c r="C75" s="54"/>
      <c r="D75" s="132" t="s">
        <v>320</v>
      </c>
      <c r="E75" s="112" t="s">
        <v>135</v>
      </c>
      <c r="F75" s="256">
        <v>10</v>
      </c>
      <c r="G75" s="23" t="str">
        <f>IF(C75&gt;0,+(C75*F75),"")</f>
        <v/>
      </c>
      <c r="H75" s="110"/>
      <c r="I75" s="199">
        <v>0.1</v>
      </c>
      <c r="J75" s="197">
        <f>+C75*I75</f>
        <v>0</v>
      </c>
      <c r="K75" s="196">
        <f>+C75/14</f>
        <v>0</v>
      </c>
      <c r="L75" s="203"/>
      <c r="M75" s="208"/>
      <c r="N75" s="237">
        <f>64/1728</f>
        <v>3.7037037037037035E-2</v>
      </c>
      <c r="O75" s="232">
        <f t="shared" si="54"/>
        <v>0</v>
      </c>
      <c r="P75" s="250">
        <f t="shared" si="55"/>
        <v>0.38554216867469882</v>
      </c>
      <c r="Q75" s="249">
        <f t="shared" si="56"/>
        <v>0</v>
      </c>
    </row>
    <row r="76" spans="1:17" ht="3" customHeight="1">
      <c r="A76" s="114"/>
      <c r="B76" s="6"/>
      <c r="C76" s="117"/>
      <c r="D76" s="116"/>
      <c r="E76" s="115"/>
      <c r="F76" s="118"/>
      <c r="G76" s="56"/>
      <c r="H76" s="114"/>
      <c r="I76" s="187"/>
      <c r="J76" s="187"/>
      <c r="K76" s="187"/>
      <c r="L76" s="187"/>
      <c r="M76" s="187"/>
      <c r="N76" s="187"/>
      <c r="O76" s="187"/>
      <c r="P76" s="187"/>
      <c r="Q76" s="187"/>
    </row>
    <row r="77" spans="1:17" ht="12.75" customHeight="1">
      <c r="A77" s="102"/>
      <c r="B77" s="137" t="s">
        <v>108</v>
      </c>
      <c r="C77" s="138" t="str">
        <f>IF(SUM(C6:C76)&gt;0,SUM(C6:C76),"")</f>
        <v/>
      </c>
      <c r="D77" s="149"/>
      <c r="E77" s="150"/>
      <c r="F77" s="141"/>
      <c r="G77" s="142" t="str">
        <f>IF(SUM(G6:G76)&gt;0,SUM(G6:G76),"")</f>
        <v/>
      </c>
      <c r="H77" s="102"/>
      <c r="I77" s="200"/>
      <c r="J77" s="200">
        <f>SUM(J6:J76)</f>
        <v>0</v>
      </c>
      <c r="K77" s="200">
        <f>SUM(K6:K76)</f>
        <v>0</v>
      </c>
      <c r="L77" s="242">
        <f>IF(G77="",0,IF((G77&lt;100),0,IF((ROUND((G77/100)-1,0)*0.85)&lt;2.55,2.55,ROUND((G77/100)-1,0)*0.85)))</f>
        <v>0</v>
      </c>
      <c r="M77" s="242"/>
      <c r="N77" s="200"/>
      <c r="O77" s="200">
        <f>SUM(O6:O76)</f>
        <v>0</v>
      </c>
      <c r="P77" s="200"/>
      <c r="Q77" s="200">
        <f>SUM(Q6:Q76)</f>
        <v>0</v>
      </c>
    </row>
    <row r="78" spans="1:17">
      <c r="A78" s="119"/>
      <c r="C78" s="120"/>
      <c r="F78" s="121"/>
      <c r="G78" s="122"/>
      <c r="H78" s="119"/>
      <c r="I78" s="164"/>
      <c r="J78" s="164"/>
      <c r="K78" s="164"/>
    </row>
    <row r="79" spans="1:17">
      <c r="A79" s="106"/>
      <c r="B79" s="107" t="s">
        <v>56</v>
      </c>
      <c r="C79" s="107" t="s">
        <v>59</v>
      </c>
      <c r="D79" s="236" t="s">
        <v>384</v>
      </c>
      <c r="E79" s="107" t="s">
        <v>57</v>
      </c>
      <c r="F79" s="107" t="s">
        <v>60</v>
      </c>
      <c r="G79" s="109" t="s">
        <v>61</v>
      </c>
      <c r="H79" s="106"/>
      <c r="I79" s="182" t="s">
        <v>379</v>
      </c>
      <c r="J79" s="182" t="s">
        <v>381</v>
      </c>
      <c r="K79" s="182" t="s">
        <v>380</v>
      </c>
      <c r="L79" s="191" t="s">
        <v>382</v>
      </c>
      <c r="M79" s="191" t="s">
        <v>383</v>
      </c>
      <c r="N79" s="182" t="s">
        <v>391</v>
      </c>
      <c r="O79" s="182" t="s">
        <v>488</v>
      </c>
      <c r="P79" s="247" t="s">
        <v>441</v>
      </c>
      <c r="Q79" s="247" t="s">
        <v>489</v>
      </c>
    </row>
    <row r="80" spans="1:17">
      <c r="A80" s="110"/>
      <c r="B80" s="135"/>
      <c r="C80" s="181"/>
      <c r="D80" s="135"/>
      <c r="E80" s="181"/>
      <c r="F80" s="134"/>
      <c r="G80" s="23" t="str">
        <f t="shared" ref="G80:G91" si="57">IF(C80&gt;0,+(C80*F80),"")</f>
        <v/>
      </c>
      <c r="H80" s="110"/>
      <c r="I80" s="219"/>
      <c r="J80" s="202"/>
      <c r="K80" s="202"/>
      <c r="L80" s="214"/>
      <c r="M80" s="203"/>
      <c r="N80" s="230"/>
      <c r="O80" s="202"/>
      <c r="P80" s="202"/>
      <c r="Q80" s="202"/>
    </row>
    <row r="81" spans="1:17">
      <c r="A81" s="110"/>
      <c r="B81" s="135"/>
      <c r="C81" s="181"/>
      <c r="D81" s="135"/>
      <c r="E81" s="181"/>
      <c r="F81" s="134"/>
      <c r="G81" s="23" t="str">
        <f t="shared" si="57"/>
        <v/>
      </c>
      <c r="H81" s="110"/>
      <c r="I81" s="219"/>
      <c r="J81" s="202"/>
      <c r="K81" s="202"/>
      <c r="L81" s="214"/>
      <c r="M81" s="203"/>
      <c r="N81" s="230"/>
      <c r="O81" s="202"/>
      <c r="P81" s="202"/>
      <c r="Q81" s="202"/>
    </row>
    <row r="82" spans="1:17">
      <c r="A82" s="110"/>
      <c r="B82" s="135"/>
      <c r="C82" s="181"/>
      <c r="D82" s="135"/>
      <c r="E82" s="181"/>
      <c r="F82" s="134"/>
      <c r="G82" s="23" t="str">
        <f t="shared" si="57"/>
        <v/>
      </c>
      <c r="H82" s="110"/>
      <c r="I82" s="219"/>
      <c r="J82" s="202"/>
      <c r="K82" s="202"/>
      <c r="L82" s="214"/>
      <c r="M82" s="203"/>
      <c r="N82" s="230"/>
      <c r="O82" s="202"/>
      <c r="P82" s="202"/>
      <c r="Q82" s="202"/>
    </row>
    <row r="83" spans="1:17">
      <c r="A83" s="110"/>
      <c r="B83" s="135"/>
      <c r="C83" s="181"/>
      <c r="D83" s="135"/>
      <c r="E83" s="181"/>
      <c r="F83" s="134"/>
      <c r="G83" s="23" t="str">
        <f t="shared" si="57"/>
        <v/>
      </c>
      <c r="H83" s="110"/>
      <c r="I83" s="219"/>
      <c r="J83" s="202"/>
      <c r="K83" s="202"/>
      <c r="L83" s="214"/>
      <c r="M83" s="203"/>
      <c r="N83" s="230"/>
      <c r="O83" s="202"/>
      <c r="P83" s="202"/>
      <c r="Q83" s="202"/>
    </row>
    <row r="84" spans="1:17">
      <c r="A84" s="110"/>
      <c r="B84" s="135"/>
      <c r="C84" s="181"/>
      <c r="D84" s="135"/>
      <c r="E84" s="181"/>
      <c r="F84" s="134"/>
      <c r="G84" s="23" t="str">
        <f t="shared" si="57"/>
        <v/>
      </c>
      <c r="H84" s="110"/>
      <c r="I84" s="219"/>
      <c r="J84" s="202"/>
      <c r="K84" s="202"/>
      <c r="L84" s="214"/>
      <c r="M84" s="203"/>
      <c r="N84" s="230"/>
      <c r="O84" s="202"/>
      <c r="P84" s="202"/>
      <c r="Q84" s="202"/>
    </row>
    <row r="85" spans="1:17">
      <c r="A85" s="110"/>
      <c r="B85" s="135"/>
      <c r="C85" s="181"/>
      <c r="D85" s="135"/>
      <c r="E85" s="181"/>
      <c r="F85" s="134"/>
      <c r="G85" s="23" t="str">
        <f t="shared" si="57"/>
        <v/>
      </c>
      <c r="H85" s="110"/>
      <c r="I85" s="219"/>
      <c r="J85" s="202"/>
      <c r="K85" s="202"/>
      <c r="L85" s="214"/>
      <c r="M85" s="203"/>
      <c r="N85" s="230"/>
      <c r="O85" s="202"/>
      <c r="P85" s="202"/>
      <c r="Q85" s="202"/>
    </row>
    <row r="86" spans="1:17">
      <c r="A86" s="110"/>
      <c r="B86" s="135"/>
      <c r="C86" s="181"/>
      <c r="D86" s="135"/>
      <c r="E86" s="181"/>
      <c r="F86" s="134"/>
      <c r="G86" s="23" t="str">
        <f t="shared" si="57"/>
        <v/>
      </c>
      <c r="H86" s="110"/>
      <c r="I86" s="219"/>
      <c r="J86" s="202"/>
      <c r="K86" s="202"/>
      <c r="L86" s="214"/>
      <c r="M86" s="203"/>
      <c r="N86" s="230"/>
      <c r="O86" s="202"/>
      <c r="P86" s="202"/>
      <c r="Q86" s="202"/>
    </row>
    <row r="87" spans="1:17">
      <c r="A87" s="110"/>
      <c r="B87" s="135"/>
      <c r="C87" s="181"/>
      <c r="D87" s="135"/>
      <c r="E87" s="181"/>
      <c r="F87" s="134"/>
      <c r="G87" s="23" t="str">
        <f t="shared" si="57"/>
        <v/>
      </c>
      <c r="H87" s="110"/>
      <c r="I87" s="219"/>
      <c r="J87" s="202"/>
      <c r="K87" s="202"/>
      <c r="L87" s="214"/>
      <c r="M87" s="203"/>
      <c r="N87" s="230"/>
      <c r="O87" s="202"/>
      <c r="P87" s="202"/>
      <c r="Q87" s="202"/>
    </row>
    <row r="88" spans="1:17">
      <c r="A88" s="110"/>
      <c r="B88" s="135"/>
      <c r="C88" s="181"/>
      <c r="D88" s="135"/>
      <c r="E88" s="181"/>
      <c r="F88" s="134"/>
      <c r="G88" s="23" t="str">
        <f t="shared" si="57"/>
        <v/>
      </c>
      <c r="H88" s="110"/>
      <c r="I88" s="219"/>
      <c r="J88" s="202"/>
      <c r="K88" s="202"/>
      <c r="L88" s="214"/>
      <c r="M88" s="203"/>
      <c r="N88" s="230"/>
      <c r="O88" s="202"/>
      <c r="P88" s="202"/>
      <c r="Q88" s="202"/>
    </row>
    <row r="89" spans="1:17">
      <c r="A89" s="110"/>
      <c r="B89" s="135"/>
      <c r="C89" s="181"/>
      <c r="D89" s="135"/>
      <c r="E89" s="181"/>
      <c r="F89" s="134"/>
      <c r="G89" s="23" t="str">
        <f t="shared" si="57"/>
        <v/>
      </c>
      <c r="H89" s="110"/>
      <c r="I89" s="219"/>
      <c r="J89" s="202"/>
      <c r="K89" s="202"/>
      <c r="L89" s="214"/>
      <c r="M89" s="203"/>
      <c r="N89" s="230"/>
      <c r="O89" s="202"/>
      <c r="P89" s="202"/>
      <c r="Q89" s="202"/>
    </row>
    <row r="90" spans="1:17">
      <c r="A90" s="110"/>
      <c r="B90" s="135"/>
      <c r="C90" s="181"/>
      <c r="D90" s="135"/>
      <c r="E90" s="181"/>
      <c r="F90" s="134"/>
      <c r="G90" s="23" t="str">
        <f t="shared" si="57"/>
        <v/>
      </c>
      <c r="H90" s="110"/>
      <c r="I90" s="219"/>
      <c r="J90" s="202"/>
      <c r="K90" s="202"/>
      <c r="L90" s="214"/>
      <c r="M90" s="203"/>
      <c r="N90" s="230"/>
      <c r="O90" s="202"/>
      <c r="P90" s="202"/>
      <c r="Q90" s="202"/>
    </row>
    <row r="91" spans="1:17">
      <c r="A91" s="110"/>
      <c r="B91" s="135"/>
      <c r="C91" s="181"/>
      <c r="D91" s="135"/>
      <c r="E91" s="181"/>
      <c r="F91" s="134"/>
      <c r="G91" s="23" t="str">
        <f t="shared" si="57"/>
        <v/>
      </c>
      <c r="H91" s="110"/>
      <c r="I91" s="219"/>
      <c r="J91" s="202"/>
      <c r="K91" s="202"/>
      <c r="L91" s="214"/>
      <c r="M91" s="203"/>
      <c r="N91" s="230"/>
      <c r="O91" s="202"/>
      <c r="P91" s="202"/>
      <c r="Q91" s="202"/>
    </row>
    <row r="92" spans="1:17" ht="3" customHeight="1">
      <c r="A92" s="114"/>
      <c r="B92" s="6"/>
      <c r="C92" s="117"/>
      <c r="D92" s="116"/>
      <c r="E92" s="115"/>
      <c r="F92" s="118"/>
      <c r="G92" s="56"/>
      <c r="H92" s="114"/>
      <c r="I92" s="187"/>
      <c r="J92" s="187"/>
      <c r="K92" s="187"/>
      <c r="L92" s="187"/>
      <c r="M92" s="187"/>
      <c r="N92" s="187"/>
      <c r="O92" s="187"/>
      <c r="P92" s="187"/>
      <c r="Q92" s="187"/>
    </row>
    <row r="93" spans="1:17">
      <c r="A93" s="102"/>
      <c r="B93" s="137" t="s">
        <v>108</v>
      </c>
      <c r="C93" s="138" t="str">
        <f>IF(SUM(C80:C92)&gt;0,SUM(C80:C92),"")</f>
        <v/>
      </c>
      <c r="D93" s="149"/>
      <c r="E93" s="150"/>
      <c r="F93" s="141"/>
      <c r="G93" s="142" t="str">
        <f>IF(SUM(G80:G92)&gt;0,SUM(G80:G92),"")</f>
        <v/>
      </c>
      <c r="H93" s="102"/>
      <c r="I93" s="200"/>
      <c r="J93" s="200">
        <f>SUM(J80:J92)</f>
        <v>0</v>
      </c>
      <c r="K93" s="200">
        <f>SUM(K80:K92)</f>
        <v>0</v>
      </c>
      <c r="L93" s="211"/>
      <c r="M93" s="212"/>
      <c r="N93" s="200"/>
      <c r="O93" s="200">
        <f>SUM(O80:O92)</f>
        <v>0</v>
      </c>
      <c r="P93" s="200"/>
      <c r="Q93" s="200">
        <f t="shared" ref="Q93" si="58">SUM(Q80:Q92)</f>
        <v>0</v>
      </c>
    </row>
    <row r="94" spans="1:17">
      <c r="A94" s="119"/>
      <c r="C94" s="120"/>
      <c r="F94" s="121"/>
      <c r="G94" s="122"/>
      <c r="H94" s="119"/>
      <c r="I94" s="155"/>
      <c r="J94" s="155"/>
      <c r="K94" s="155"/>
    </row>
    <row r="95" spans="1:17">
      <c r="A95" s="101"/>
      <c r="B95" s="7"/>
      <c r="C95" s="8" t="s">
        <v>59</v>
      </c>
      <c r="D95" s="8" t="s">
        <v>325</v>
      </c>
      <c r="E95" s="7"/>
      <c r="F95" s="43"/>
      <c r="G95" s="37" t="s">
        <v>61</v>
      </c>
      <c r="H95" s="101"/>
      <c r="I95" s="182" t="s">
        <v>379</v>
      </c>
      <c r="J95" s="182" t="s">
        <v>381</v>
      </c>
      <c r="K95" s="182" t="s">
        <v>380</v>
      </c>
      <c r="L95" s="191" t="s">
        <v>382</v>
      </c>
      <c r="M95" s="191" t="s">
        <v>383</v>
      </c>
      <c r="N95" s="182" t="s">
        <v>391</v>
      </c>
      <c r="O95" s="182" t="s">
        <v>488</v>
      </c>
      <c r="P95" s="247" t="s">
        <v>441</v>
      </c>
      <c r="Q95" s="247" t="s">
        <v>489</v>
      </c>
    </row>
    <row r="96" spans="1:17">
      <c r="A96" s="102"/>
      <c r="B96" s="144" t="s">
        <v>108</v>
      </c>
      <c r="C96" s="145" t="str">
        <f>IF(SUM(C5:C95)&gt;1,SUM(C5:C95)/2,"")</f>
        <v/>
      </c>
      <c r="D96" s="151"/>
      <c r="E96" s="152"/>
      <c r="F96" s="148"/>
      <c r="G96" s="153" t="str">
        <f>IF(SUM(G5:G95)&gt;1,SUM(G5:G95)/2,"")</f>
        <v/>
      </c>
      <c r="H96" s="102"/>
      <c r="I96" s="200"/>
      <c r="J96" s="195">
        <f>SUM(J5:J95)/2</f>
        <v>0</v>
      </c>
      <c r="K96" s="195">
        <f>SUM(K5:K95)/2</f>
        <v>0</v>
      </c>
      <c r="L96" s="195">
        <f>SUM(L5:L95)</f>
        <v>0</v>
      </c>
      <c r="M96" s="195">
        <f>SUM(M5:M95)</f>
        <v>0</v>
      </c>
      <c r="N96" s="200"/>
      <c r="O96" s="195">
        <f>SUM(O5:O95)/2</f>
        <v>0</v>
      </c>
      <c r="P96" s="195"/>
      <c r="Q96" s="195">
        <f t="shared" ref="Q96" si="59">SUM(Q5:Q95)/2</f>
        <v>0</v>
      </c>
    </row>
    <row r="97" spans="1:17" ht="3" customHeight="1">
      <c r="A97" s="102"/>
      <c r="B97" s="10"/>
      <c r="C97" s="60"/>
      <c r="D97" s="130"/>
      <c r="E97" s="129"/>
      <c r="F97" s="61"/>
      <c r="G97" s="31"/>
      <c r="H97" s="102"/>
      <c r="I97" s="102"/>
      <c r="J97" s="31"/>
      <c r="K97" s="31"/>
      <c r="L97" s="31"/>
      <c r="M97" s="31"/>
      <c r="N97" s="102"/>
      <c r="O97" s="31"/>
      <c r="P97" s="31"/>
      <c r="Q97" s="31"/>
    </row>
    <row r="98" spans="1:17">
      <c r="A98" s="96"/>
      <c r="B98" s="252" t="str">
        <f>+Cover!$M$59</f>
        <v>Date Updated:</v>
      </c>
      <c r="C98" s="253">
        <f>+Cover!$N$59</f>
        <v>43242</v>
      </c>
      <c r="D98" s="254" t="str">
        <f>+Cover!$B$59</f>
        <v>© Pioneer Family Brands, Inc</v>
      </c>
      <c r="E98" s="255"/>
      <c r="F98" s="255"/>
      <c r="G98" s="255"/>
      <c r="H98" s="96"/>
    </row>
  </sheetData>
  <sheetProtection sheet="1" objects="1" scenarios="1" formatCells="0" selectLockedCells="1"/>
  <mergeCells count="2">
    <mergeCell ref="B3:C3"/>
    <mergeCell ref="E3:F3"/>
  </mergeCells>
  <phoneticPr fontId="3" type="noConversion"/>
  <pageMargins left="0.75" right="0.75" top="1" bottom="1" header="0.5" footer="0.5"/>
  <pageSetup scale="85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6">
    <tabColor theme="6" tint="-0.499984740745262"/>
    <pageSetUpPr fitToPage="1"/>
  </sheetPr>
  <dimension ref="A1:S51"/>
  <sheetViews>
    <sheetView showGridLines="0" workbookViewId="0">
      <selection activeCell="C6" sqref="C6"/>
    </sheetView>
  </sheetViews>
  <sheetFormatPr defaultColWidth="9.140625" defaultRowHeight="12.75"/>
  <cols>
    <col min="1" max="1" width="0.85546875" style="100" customWidth="1"/>
    <col min="2" max="2" width="13.7109375" style="100" customWidth="1"/>
    <col min="3" max="3" width="11.7109375" style="100" customWidth="1"/>
    <col min="4" max="4" width="48.7109375" style="100" customWidth="1"/>
    <col min="5" max="5" width="5.7109375" style="100" customWidth="1"/>
    <col min="6" max="6" width="10.7109375" style="100" customWidth="1"/>
    <col min="7" max="7" width="14.7109375" style="100" customWidth="1"/>
    <col min="8" max="8" width="0.85546875" style="100" customWidth="1"/>
    <col min="9" max="9" width="9.140625" style="100" hidden="1" customWidth="1"/>
    <col min="10" max="11" width="8.7109375" style="100" hidden="1" customWidth="1"/>
    <col min="12" max="17" width="9.140625" style="100" hidden="1" customWidth="1"/>
    <col min="18" max="16384" width="9.140625" style="100"/>
  </cols>
  <sheetData>
    <row r="1" spans="1:17" ht="22.5">
      <c r="A1" s="96"/>
      <c r="B1" s="97" t="s">
        <v>199</v>
      </c>
      <c r="C1" s="97"/>
      <c r="D1" s="98"/>
      <c r="E1" s="99"/>
      <c r="F1" s="98"/>
      <c r="G1" s="98"/>
      <c r="H1" s="96"/>
    </row>
    <row r="2" spans="1:17">
      <c r="A2" s="6"/>
      <c r="B2" s="7" t="s">
        <v>6</v>
      </c>
      <c r="C2" s="7"/>
      <c r="D2" s="8" t="s">
        <v>10</v>
      </c>
      <c r="E2" s="7" t="s">
        <v>8</v>
      </c>
      <c r="F2" s="7"/>
      <c r="G2" s="9" t="s">
        <v>55</v>
      </c>
      <c r="H2" s="6"/>
    </row>
    <row r="3" spans="1:17" ht="15" customHeight="1">
      <c r="A3" s="10"/>
      <c r="B3" s="336" t="str">
        <f>IF(+Cover!B11="","",+Cover!B11)</f>
        <v/>
      </c>
      <c r="C3" s="337"/>
      <c r="D3" s="11" t="str">
        <f>IF(+Cover!B16="","",+Cover!B16)</f>
        <v/>
      </c>
      <c r="E3" s="338" t="str">
        <f>IF(+Cover!B56="","",+Cover!B56)</f>
        <v/>
      </c>
      <c r="F3" s="339"/>
      <c r="G3" s="12" t="str">
        <f>IF(+Cover!P11="","",+Cover!P11)</f>
        <v/>
      </c>
      <c r="H3" s="10"/>
    </row>
    <row r="4" spans="1:17">
      <c r="A4" s="96"/>
      <c r="B4" s="103"/>
      <c r="C4" s="103"/>
      <c r="D4" s="104"/>
      <c r="E4" s="96"/>
      <c r="F4" s="103"/>
      <c r="G4" s="105"/>
    </row>
    <row r="5" spans="1:17">
      <c r="A5" s="106"/>
      <c r="B5" s="107" t="s">
        <v>56</v>
      </c>
      <c r="C5" s="107" t="s">
        <v>59</v>
      </c>
      <c r="D5" s="108" t="s">
        <v>184</v>
      </c>
      <c r="E5" s="107" t="s">
        <v>57</v>
      </c>
      <c r="F5" s="107" t="s">
        <v>60</v>
      </c>
      <c r="G5" s="109" t="s">
        <v>61</v>
      </c>
      <c r="H5" s="16"/>
      <c r="I5" s="182" t="s">
        <v>379</v>
      </c>
      <c r="J5" s="182" t="s">
        <v>381</v>
      </c>
      <c r="K5" s="182" t="s">
        <v>380</v>
      </c>
      <c r="L5" s="191" t="s">
        <v>382</v>
      </c>
      <c r="M5" s="191" t="s">
        <v>383</v>
      </c>
      <c r="N5" s="182" t="s">
        <v>391</v>
      </c>
      <c r="O5" s="182" t="s">
        <v>488</v>
      </c>
      <c r="P5" s="247" t="s">
        <v>441</v>
      </c>
      <c r="Q5" s="247" t="s">
        <v>489</v>
      </c>
    </row>
    <row r="6" spans="1:17">
      <c r="A6" s="110"/>
      <c r="B6" s="111" t="s">
        <v>480</v>
      </c>
      <c r="C6" s="234"/>
      <c r="D6" s="113" t="s">
        <v>66</v>
      </c>
      <c r="E6" s="112" t="s">
        <v>133</v>
      </c>
      <c r="F6" s="251">
        <v>75</v>
      </c>
      <c r="G6" s="23" t="str">
        <f t="shared" ref="G6" si="0">IF(C6&gt;0,+(C6*F6),"")</f>
        <v/>
      </c>
      <c r="H6" s="110"/>
      <c r="I6" s="189">
        <v>21</v>
      </c>
      <c r="J6" s="188">
        <f t="shared" ref="J6" si="1">+C6*I6</f>
        <v>0</v>
      </c>
      <c r="K6" s="185">
        <f t="shared" ref="K6" si="2">+C6/1</f>
        <v>0</v>
      </c>
      <c r="L6" s="207"/>
      <c r="M6" s="208"/>
      <c r="N6" s="230">
        <f>1008/1728</f>
        <v>0.58333333333333337</v>
      </c>
      <c r="O6" s="232">
        <f t="shared" ref="O6" si="3">+C6*N6</f>
        <v>0</v>
      </c>
      <c r="P6" s="250">
        <f>((+N6*1728)/166)</f>
        <v>6.0722891566265069</v>
      </c>
      <c r="Q6" s="249">
        <f>IF(P6&gt;I6,+P6*C6,+I6*C6)</f>
        <v>0</v>
      </c>
    </row>
    <row r="7" spans="1:17">
      <c r="A7" s="110"/>
      <c r="B7" s="111" t="s">
        <v>481</v>
      </c>
      <c r="C7" s="234"/>
      <c r="D7" s="113" t="s">
        <v>116</v>
      </c>
      <c r="E7" s="112" t="s">
        <v>133</v>
      </c>
      <c r="F7" s="251">
        <v>75</v>
      </c>
      <c r="G7" s="23" t="str">
        <f t="shared" ref="G7" si="4">IF(C7&gt;0,+(C7*F7),"")</f>
        <v/>
      </c>
      <c r="H7" s="110"/>
      <c r="I7" s="189">
        <v>21</v>
      </c>
      <c r="J7" s="188">
        <f t="shared" ref="J7" si="5">+C7*I7</f>
        <v>0</v>
      </c>
      <c r="K7" s="185">
        <f t="shared" ref="K7" si="6">+C7/1</f>
        <v>0</v>
      </c>
      <c r="L7" s="207"/>
      <c r="M7" s="208"/>
      <c r="N7" s="230">
        <f>1008/1728</f>
        <v>0.58333333333333337</v>
      </c>
      <c r="O7" s="232">
        <f t="shared" ref="O7" si="7">+C7*N7</f>
        <v>0</v>
      </c>
      <c r="P7" s="250">
        <f>((+N7*1728)/166)</f>
        <v>6.0722891566265069</v>
      </c>
      <c r="Q7" s="249">
        <f>IF(P7&gt;I7,+P7*C7,+I7*C7)</f>
        <v>0</v>
      </c>
    </row>
    <row r="8" spans="1:17">
      <c r="A8" s="110"/>
      <c r="B8" s="111" t="s">
        <v>185</v>
      </c>
      <c r="C8" s="54"/>
      <c r="D8" s="113" t="s">
        <v>84</v>
      </c>
      <c r="E8" s="112" t="s">
        <v>133</v>
      </c>
      <c r="F8" s="251">
        <v>75</v>
      </c>
      <c r="G8" s="23" t="str">
        <f t="shared" ref="G8:G15" si="8">IF(C8&gt;0,+(C8*F8),"")</f>
        <v/>
      </c>
      <c r="H8" s="110"/>
      <c r="I8" s="189">
        <v>21</v>
      </c>
      <c r="J8" s="188">
        <f t="shared" ref="J8:J15" si="9">+C8*I8</f>
        <v>0</v>
      </c>
      <c r="K8" s="185">
        <f t="shared" ref="K8:K15" si="10">+C8/1</f>
        <v>0</v>
      </c>
      <c r="L8" s="207"/>
      <c r="M8" s="208"/>
      <c r="N8" s="230">
        <f t="shared" ref="N8:N15" si="11">1008/1728</f>
        <v>0.58333333333333337</v>
      </c>
      <c r="O8" s="232">
        <f t="shared" ref="O8:O15" si="12">+C8*N8</f>
        <v>0</v>
      </c>
      <c r="P8" s="250">
        <f t="shared" ref="P8:P15" si="13">((+N8*1728)/166)</f>
        <v>6.0722891566265069</v>
      </c>
      <c r="Q8" s="249">
        <f t="shared" ref="Q8:Q15" si="14">IF(P8&gt;I8,+P8*C8,+I8*C8)</f>
        <v>0</v>
      </c>
    </row>
    <row r="9" spans="1:17">
      <c r="A9" s="110"/>
      <c r="B9" s="111" t="s">
        <v>358</v>
      </c>
      <c r="C9" s="234"/>
      <c r="D9" s="113" t="s">
        <v>86</v>
      </c>
      <c r="E9" s="112" t="s">
        <v>133</v>
      </c>
      <c r="F9" s="251">
        <v>75</v>
      </c>
      <c r="G9" s="23" t="str">
        <f t="shared" si="8"/>
        <v/>
      </c>
      <c r="H9" s="110"/>
      <c r="I9" s="189">
        <v>21</v>
      </c>
      <c r="J9" s="188">
        <f t="shared" si="9"/>
        <v>0</v>
      </c>
      <c r="K9" s="185">
        <f t="shared" si="10"/>
        <v>0</v>
      </c>
      <c r="L9" s="207"/>
      <c r="M9" s="208"/>
      <c r="N9" s="230">
        <f t="shared" si="11"/>
        <v>0.58333333333333337</v>
      </c>
      <c r="O9" s="232">
        <f t="shared" si="12"/>
        <v>0</v>
      </c>
      <c r="P9" s="250">
        <f t="shared" si="13"/>
        <v>6.0722891566265069</v>
      </c>
      <c r="Q9" s="249">
        <f t="shared" si="14"/>
        <v>0</v>
      </c>
    </row>
    <row r="10" spans="1:17">
      <c r="A10" s="110"/>
      <c r="B10" s="111" t="s">
        <v>186</v>
      </c>
      <c r="C10" s="234"/>
      <c r="D10" s="113" t="s">
        <v>90</v>
      </c>
      <c r="E10" s="112" t="s">
        <v>133</v>
      </c>
      <c r="F10" s="251">
        <v>75</v>
      </c>
      <c r="G10" s="23" t="str">
        <f t="shared" si="8"/>
        <v/>
      </c>
      <c r="H10" s="110"/>
      <c r="I10" s="189">
        <v>21</v>
      </c>
      <c r="J10" s="188">
        <f t="shared" si="9"/>
        <v>0</v>
      </c>
      <c r="K10" s="185">
        <f t="shared" si="10"/>
        <v>0</v>
      </c>
      <c r="L10" s="207"/>
      <c r="M10" s="208"/>
      <c r="N10" s="230">
        <f t="shared" si="11"/>
        <v>0.58333333333333337</v>
      </c>
      <c r="O10" s="232">
        <f t="shared" si="12"/>
        <v>0</v>
      </c>
      <c r="P10" s="250">
        <f t="shared" si="13"/>
        <v>6.0722891566265069</v>
      </c>
      <c r="Q10" s="249">
        <f t="shared" si="14"/>
        <v>0</v>
      </c>
    </row>
    <row r="11" spans="1:17">
      <c r="A11" s="110"/>
      <c r="B11" s="111" t="s">
        <v>440</v>
      </c>
      <c r="C11" s="234"/>
      <c r="D11" s="113" t="s">
        <v>92</v>
      </c>
      <c r="E11" s="112" t="s">
        <v>133</v>
      </c>
      <c r="F11" s="251">
        <v>75</v>
      </c>
      <c r="G11" s="23" t="str">
        <f t="shared" ref="G11" si="15">IF(C11&gt;0,+(C11*F11),"")</f>
        <v/>
      </c>
      <c r="H11" s="110"/>
      <c r="I11" s="189">
        <v>21</v>
      </c>
      <c r="J11" s="188">
        <f t="shared" ref="J11" si="16">+C11*I11</f>
        <v>0</v>
      </c>
      <c r="K11" s="185">
        <f t="shared" ref="K11" si="17">+C11/1</f>
        <v>0</v>
      </c>
      <c r="L11" s="207"/>
      <c r="M11" s="208"/>
      <c r="N11" s="230">
        <f t="shared" si="11"/>
        <v>0.58333333333333337</v>
      </c>
      <c r="O11" s="232">
        <f t="shared" ref="O11" si="18">+C11*N11</f>
        <v>0</v>
      </c>
      <c r="P11" s="250">
        <f t="shared" si="13"/>
        <v>6.0722891566265069</v>
      </c>
      <c r="Q11" s="249">
        <f t="shared" si="14"/>
        <v>0</v>
      </c>
    </row>
    <row r="12" spans="1:17">
      <c r="A12" s="110"/>
      <c r="B12" s="111" t="s">
        <v>493</v>
      </c>
      <c r="C12" s="234"/>
      <c r="D12" s="113" t="s">
        <v>94</v>
      </c>
      <c r="E12" s="112" t="s">
        <v>133</v>
      </c>
      <c r="F12" s="251">
        <v>75</v>
      </c>
      <c r="G12" s="23" t="str">
        <f t="shared" ref="G12" si="19">IF(C12&gt;0,+(C12*F12),"")</f>
        <v/>
      </c>
      <c r="H12" s="110"/>
      <c r="I12" s="189">
        <v>21</v>
      </c>
      <c r="J12" s="188">
        <f t="shared" ref="J12" si="20">+C12*I12</f>
        <v>0</v>
      </c>
      <c r="K12" s="185">
        <f t="shared" ref="K12" si="21">+C12/1</f>
        <v>0</v>
      </c>
      <c r="L12" s="207"/>
      <c r="M12" s="208"/>
      <c r="N12" s="230">
        <f t="shared" si="11"/>
        <v>0.58333333333333337</v>
      </c>
      <c r="O12" s="232">
        <f t="shared" ref="O12" si="22">+C12*N12</f>
        <v>0</v>
      </c>
      <c r="P12" s="250">
        <f t="shared" ref="P12" si="23">((+N12*1728)/166)</f>
        <v>6.0722891566265069</v>
      </c>
      <c r="Q12" s="249">
        <f t="shared" ref="Q12" si="24">IF(P12&gt;I12,+P12*C12,+I12*C12)</f>
        <v>0</v>
      </c>
    </row>
    <row r="13" spans="1:17">
      <c r="A13" s="110"/>
      <c r="B13" s="111" t="s">
        <v>400</v>
      </c>
      <c r="C13" s="234"/>
      <c r="D13" s="113" t="s">
        <v>401</v>
      </c>
      <c r="E13" s="112" t="s">
        <v>133</v>
      </c>
      <c r="F13" s="251">
        <v>75</v>
      </c>
      <c r="G13" s="23" t="str">
        <f t="shared" ref="G13" si="25">IF(C13&gt;0,+(C13*F13),"")</f>
        <v/>
      </c>
      <c r="H13" s="110"/>
      <c r="I13" s="189">
        <v>21</v>
      </c>
      <c r="J13" s="188">
        <f t="shared" si="9"/>
        <v>0</v>
      </c>
      <c r="K13" s="185">
        <f t="shared" si="10"/>
        <v>0</v>
      </c>
      <c r="L13" s="207"/>
      <c r="M13" s="208"/>
      <c r="N13" s="230">
        <f t="shared" si="11"/>
        <v>0.58333333333333337</v>
      </c>
      <c r="O13" s="232">
        <f t="shared" si="12"/>
        <v>0</v>
      </c>
      <c r="P13" s="250">
        <f t="shared" si="13"/>
        <v>6.0722891566265069</v>
      </c>
      <c r="Q13" s="249">
        <f t="shared" si="14"/>
        <v>0</v>
      </c>
    </row>
    <row r="14" spans="1:17">
      <c r="A14" s="110"/>
      <c r="B14" s="111" t="s">
        <v>187</v>
      </c>
      <c r="C14" s="234"/>
      <c r="D14" s="113" t="s">
        <v>101</v>
      </c>
      <c r="E14" s="112" t="s">
        <v>133</v>
      </c>
      <c r="F14" s="251">
        <v>75</v>
      </c>
      <c r="G14" s="23" t="str">
        <f t="shared" ref="G14" si="26">IF(C14&gt;0,+(C14*F14),"")</f>
        <v/>
      </c>
      <c r="H14" s="110"/>
      <c r="I14" s="189">
        <v>21</v>
      </c>
      <c r="J14" s="188">
        <f t="shared" ref="J14" si="27">+C14*I14</f>
        <v>0</v>
      </c>
      <c r="K14" s="185">
        <f t="shared" ref="K14" si="28">+C14/1</f>
        <v>0</v>
      </c>
      <c r="L14" s="207"/>
      <c r="M14" s="208"/>
      <c r="N14" s="230">
        <f t="shared" si="11"/>
        <v>0.58333333333333337</v>
      </c>
      <c r="O14" s="232">
        <f t="shared" ref="O14" si="29">+C14*N14</f>
        <v>0</v>
      </c>
      <c r="P14" s="250">
        <f t="shared" si="13"/>
        <v>6.0722891566265069</v>
      </c>
      <c r="Q14" s="249">
        <f t="shared" si="14"/>
        <v>0</v>
      </c>
    </row>
    <row r="15" spans="1:17">
      <c r="A15" s="110"/>
      <c r="B15" s="111" t="s">
        <v>398</v>
      </c>
      <c r="C15" s="234"/>
      <c r="D15" s="113" t="s">
        <v>399</v>
      </c>
      <c r="E15" s="112" t="s">
        <v>133</v>
      </c>
      <c r="F15" s="251">
        <v>75</v>
      </c>
      <c r="G15" s="23" t="str">
        <f t="shared" si="8"/>
        <v/>
      </c>
      <c r="H15" s="110"/>
      <c r="I15" s="189">
        <v>21</v>
      </c>
      <c r="J15" s="188">
        <f t="shared" si="9"/>
        <v>0</v>
      </c>
      <c r="K15" s="185">
        <f t="shared" si="10"/>
        <v>0</v>
      </c>
      <c r="L15" s="207"/>
      <c r="M15" s="208"/>
      <c r="N15" s="230">
        <f t="shared" si="11"/>
        <v>0.58333333333333337</v>
      </c>
      <c r="O15" s="232">
        <f t="shared" si="12"/>
        <v>0</v>
      </c>
      <c r="P15" s="250">
        <f t="shared" si="13"/>
        <v>6.0722891566265069</v>
      </c>
      <c r="Q15" s="249">
        <f t="shared" si="14"/>
        <v>0</v>
      </c>
    </row>
    <row r="16" spans="1:17" ht="3" customHeight="1">
      <c r="A16" s="114"/>
      <c r="B16" s="6"/>
      <c r="C16" s="117"/>
      <c r="D16" s="116"/>
      <c r="E16" s="115"/>
      <c r="F16" s="118"/>
      <c r="G16" s="56"/>
      <c r="H16" s="114"/>
      <c r="I16" s="187"/>
      <c r="J16" s="187"/>
      <c r="K16" s="187"/>
      <c r="L16" s="187"/>
      <c r="M16" s="187"/>
      <c r="N16" s="187"/>
      <c r="O16" s="187"/>
      <c r="P16" s="187"/>
      <c r="Q16" s="187"/>
    </row>
    <row r="17" spans="1:19" ht="12.75" customHeight="1">
      <c r="A17" s="102"/>
      <c r="B17" s="137" t="s">
        <v>108</v>
      </c>
      <c r="C17" s="138" t="str">
        <f>IF(SUM(C6:C16)&gt;0,SUM(C6:C16),"")</f>
        <v/>
      </c>
      <c r="D17" s="149"/>
      <c r="E17" s="150"/>
      <c r="F17" s="141"/>
      <c r="G17" s="142" t="str">
        <f>IF(SUM(G6:G16)&gt;0,SUM(G6:G16),"")</f>
        <v/>
      </c>
      <c r="H17" s="102"/>
      <c r="I17" s="204"/>
      <c r="J17" s="186">
        <f>SUM(J6:J16)</f>
        <v>0</v>
      </c>
      <c r="K17" s="186">
        <f>SUM(K6:K16)</f>
        <v>0</v>
      </c>
      <c r="L17" s="211"/>
      <c r="M17" s="212"/>
      <c r="N17" s="204"/>
      <c r="O17" s="186">
        <f>SUM(O6:O16)</f>
        <v>0</v>
      </c>
      <c r="P17" s="186"/>
      <c r="Q17" s="186">
        <f>SUM(Q6:Q16)</f>
        <v>0</v>
      </c>
    </row>
    <row r="18" spans="1:19">
      <c r="A18" s="119"/>
      <c r="C18" s="120"/>
      <c r="F18" s="121"/>
      <c r="G18" s="122"/>
      <c r="H18" s="119"/>
      <c r="I18" s="159"/>
      <c r="J18" s="159"/>
      <c r="K18" s="159"/>
    </row>
    <row r="19" spans="1:19">
      <c r="A19" s="106"/>
      <c r="B19" s="107" t="s">
        <v>56</v>
      </c>
      <c r="C19" s="107" t="s">
        <v>59</v>
      </c>
      <c r="D19" s="108" t="s">
        <v>141</v>
      </c>
      <c r="E19" s="107" t="s">
        <v>57</v>
      </c>
      <c r="F19" s="123" t="s">
        <v>60</v>
      </c>
      <c r="G19" s="109" t="s">
        <v>61</v>
      </c>
      <c r="H19" s="16"/>
      <c r="I19" s="182" t="s">
        <v>379</v>
      </c>
      <c r="J19" s="182" t="s">
        <v>381</v>
      </c>
      <c r="K19" s="182" t="s">
        <v>380</v>
      </c>
      <c r="L19" s="191" t="s">
        <v>382</v>
      </c>
      <c r="M19" s="191" t="s">
        <v>383</v>
      </c>
      <c r="N19" s="182" t="s">
        <v>391</v>
      </c>
      <c r="O19" s="182" t="s">
        <v>488</v>
      </c>
      <c r="P19" s="247" t="s">
        <v>441</v>
      </c>
      <c r="Q19" s="247" t="s">
        <v>489</v>
      </c>
    </row>
    <row r="20" spans="1:19">
      <c r="A20" s="110"/>
      <c r="B20" s="111" t="s">
        <v>341</v>
      </c>
      <c r="C20" s="54"/>
      <c r="D20" s="113" t="s">
        <v>147</v>
      </c>
      <c r="E20" s="124" t="s">
        <v>133</v>
      </c>
      <c r="F20" s="251">
        <v>15</v>
      </c>
      <c r="G20" s="23" t="str">
        <f>IF(C20&gt;0,+(C20*F20),"")</f>
        <v/>
      </c>
      <c r="H20" s="110"/>
      <c r="I20" s="189">
        <v>3</v>
      </c>
      <c r="J20" s="188">
        <f>+C20*I20</f>
        <v>0</v>
      </c>
      <c r="K20" s="185">
        <f t="shared" ref="K20" si="30">+C20/1</f>
        <v>0</v>
      </c>
      <c r="L20" s="207"/>
      <c r="M20" s="208"/>
      <c r="N20" s="230">
        <f>1452/1728</f>
        <v>0.84027777777777779</v>
      </c>
      <c r="O20" s="232">
        <f t="shared" ref="O20" si="31">+C20*N20</f>
        <v>0</v>
      </c>
      <c r="P20" s="250">
        <f>((+N20*1728)/166)</f>
        <v>8.7469879518072293</v>
      </c>
      <c r="Q20" s="249">
        <f>IF(P20&gt;I20,+P20*C20,+I20*C20)</f>
        <v>0</v>
      </c>
    </row>
    <row r="21" spans="1:19" ht="3" customHeight="1">
      <c r="A21" s="114"/>
      <c r="B21" s="6"/>
      <c r="C21" s="117"/>
      <c r="D21" s="116"/>
      <c r="E21" s="115"/>
      <c r="F21" s="118"/>
      <c r="G21" s="56"/>
      <c r="H21" s="114"/>
      <c r="I21" s="187"/>
      <c r="J21" s="187"/>
      <c r="K21" s="187"/>
      <c r="L21" s="187"/>
      <c r="M21" s="187"/>
      <c r="N21" s="187"/>
      <c r="O21" s="187"/>
      <c r="P21" s="187"/>
      <c r="Q21" s="187"/>
    </row>
    <row r="22" spans="1:19">
      <c r="A22" s="102"/>
      <c r="B22" s="137" t="s">
        <v>108</v>
      </c>
      <c r="C22" s="138" t="str">
        <f>IF(SUM(C20:C21)&gt;0,SUM(C20:C21),"")</f>
        <v/>
      </c>
      <c r="D22" s="149"/>
      <c r="E22" s="150"/>
      <c r="F22" s="141"/>
      <c r="G22" s="142" t="str">
        <f>IF(SUM(G20:G21)&gt;0,SUM(G20:G21),"")</f>
        <v/>
      </c>
      <c r="H22" s="102"/>
      <c r="I22" s="204"/>
      <c r="J22" s="183">
        <f>SUM(J20:J21)</f>
        <v>0</v>
      </c>
      <c r="K22" s="183">
        <f>SUM(K20:K21)</f>
        <v>0</v>
      </c>
      <c r="L22" s="211"/>
      <c r="M22" s="212"/>
      <c r="N22" s="204"/>
      <c r="O22" s="183">
        <f>SUM(O20:O21)</f>
        <v>0</v>
      </c>
      <c r="P22" s="183"/>
      <c r="Q22" s="183">
        <f t="shared" ref="Q22" si="32">SUM(Q20:Q21)</f>
        <v>0</v>
      </c>
    </row>
    <row r="23" spans="1:19">
      <c r="A23" s="125"/>
      <c r="B23" s="126"/>
      <c r="C23" s="126"/>
      <c r="D23" s="104"/>
      <c r="E23" s="126"/>
      <c r="F23" s="121"/>
      <c r="G23" s="122"/>
      <c r="H23" s="125"/>
      <c r="I23" s="159"/>
      <c r="J23" s="159"/>
      <c r="K23" s="159"/>
    </row>
    <row r="24" spans="1:19">
      <c r="A24" s="106"/>
      <c r="B24" s="107" t="s">
        <v>56</v>
      </c>
      <c r="C24" s="107" t="s">
        <v>59</v>
      </c>
      <c r="D24" s="108" t="s">
        <v>150</v>
      </c>
      <c r="E24" s="107" t="s">
        <v>57</v>
      </c>
      <c r="F24" s="123" t="s">
        <v>60</v>
      </c>
      <c r="G24" s="109" t="s">
        <v>61</v>
      </c>
      <c r="H24" s="16"/>
      <c r="I24" s="182" t="s">
        <v>379</v>
      </c>
      <c r="J24" s="182" t="s">
        <v>381</v>
      </c>
      <c r="K24" s="182" t="s">
        <v>380</v>
      </c>
      <c r="L24" s="191" t="s">
        <v>382</v>
      </c>
      <c r="M24" s="191" t="s">
        <v>383</v>
      </c>
      <c r="N24" s="182" t="s">
        <v>391</v>
      </c>
      <c r="O24" s="182" t="s">
        <v>488</v>
      </c>
      <c r="P24" s="247" t="s">
        <v>441</v>
      </c>
      <c r="Q24" s="247" t="s">
        <v>489</v>
      </c>
    </row>
    <row r="25" spans="1:19">
      <c r="A25" s="110"/>
      <c r="B25" s="111" t="s">
        <v>406</v>
      </c>
      <c r="C25" s="54"/>
      <c r="D25" s="113" t="s">
        <v>407</v>
      </c>
      <c r="E25" s="112" t="s">
        <v>133</v>
      </c>
      <c r="F25" s="251">
        <v>40</v>
      </c>
      <c r="G25" s="23" t="str">
        <f>IF(C25&gt;0,+(C25*F25),"")</f>
        <v/>
      </c>
      <c r="H25" s="110"/>
      <c r="I25" s="190">
        <v>6</v>
      </c>
      <c r="J25" s="188">
        <f>+C25*I25</f>
        <v>0</v>
      </c>
      <c r="K25" s="185">
        <f>+C25/1</f>
        <v>0</v>
      </c>
      <c r="L25" s="207"/>
      <c r="M25" s="208"/>
      <c r="N25" s="230">
        <f>4488/1728</f>
        <v>2.5972222222222223</v>
      </c>
      <c r="O25" s="232">
        <f t="shared" ref="O25" si="33">+C25*N25</f>
        <v>0</v>
      </c>
      <c r="P25" s="250">
        <f>((+N25*1728)/166)</f>
        <v>27.036144578313252</v>
      </c>
      <c r="Q25" s="249">
        <f>IF(P25&gt;I25,+P25*C25,+I25*C25)</f>
        <v>0</v>
      </c>
    </row>
    <row r="26" spans="1:19">
      <c r="A26" s="110"/>
      <c r="B26" s="111" t="s">
        <v>359</v>
      </c>
      <c r="C26" s="234"/>
      <c r="D26" s="113" t="s">
        <v>188</v>
      </c>
      <c r="E26" s="112" t="s">
        <v>133</v>
      </c>
      <c r="F26" s="251">
        <v>50</v>
      </c>
      <c r="G26" s="23" t="str">
        <f>IF(C26&gt;0,+(C26*F26),"")</f>
        <v/>
      </c>
      <c r="H26" s="110"/>
      <c r="I26" s="190">
        <v>6</v>
      </c>
      <c r="J26" s="188">
        <f>+C26*I26</f>
        <v>0</v>
      </c>
      <c r="K26" s="185">
        <f>+C26/1</f>
        <v>0</v>
      </c>
      <c r="L26" s="207"/>
      <c r="M26" s="208"/>
      <c r="N26" s="230">
        <f>5250/1728</f>
        <v>3.0381944444444446</v>
      </c>
      <c r="O26" s="232">
        <f t="shared" ref="O26" si="34">+C26*N26</f>
        <v>0</v>
      </c>
      <c r="P26" s="250">
        <f t="shared" ref="P26:P28" si="35">((+N26*1728)/166)</f>
        <v>31.626506024096386</v>
      </c>
      <c r="Q26" s="249">
        <f t="shared" ref="Q26:Q28" si="36">IF(P26&gt;I26,+P26*C26,+I26*C26)</f>
        <v>0</v>
      </c>
    </row>
    <row r="27" spans="1:19">
      <c r="A27" s="110"/>
      <c r="B27" s="111" t="s">
        <v>348</v>
      </c>
      <c r="C27" s="54"/>
      <c r="D27" s="113" t="s">
        <v>347</v>
      </c>
      <c r="E27" s="124" t="s">
        <v>133</v>
      </c>
      <c r="F27" s="251">
        <v>22</v>
      </c>
      <c r="G27" s="23" t="str">
        <f>IF(C27&gt;0,+(C27*F27),"")</f>
        <v/>
      </c>
      <c r="H27" s="110"/>
      <c r="I27" s="189">
        <v>5</v>
      </c>
      <c r="J27" s="188">
        <f>+C27*I27</f>
        <v>0</v>
      </c>
      <c r="K27" s="185">
        <f>+C27/1</f>
        <v>0</v>
      </c>
      <c r="L27" s="209"/>
      <c r="M27" s="210"/>
      <c r="N27" s="230">
        <f>1440/1728</f>
        <v>0.83333333333333337</v>
      </c>
      <c r="O27" s="232">
        <f t="shared" ref="O27:O28" si="37">+C27*N27</f>
        <v>0</v>
      </c>
      <c r="P27" s="250">
        <f t="shared" si="35"/>
        <v>8.6746987951807224</v>
      </c>
      <c r="Q27" s="249">
        <f t="shared" si="36"/>
        <v>0</v>
      </c>
    </row>
    <row r="28" spans="1:19">
      <c r="A28" s="18"/>
      <c r="B28" s="44" t="s">
        <v>438</v>
      </c>
      <c r="C28" s="234"/>
      <c r="D28" s="45" t="s">
        <v>439</v>
      </c>
      <c r="E28" s="20" t="s">
        <v>133</v>
      </c>
      <c r="F28" s="22">
        <v>45</v>
      </c>
      <c r="G28" s="23" t="str">
        <f t="shared" ref="G28" si="38">IF(C28&gt;0,+(C28*F28),"")</f>
        <v/>
      </c>
      <c r="H28" s="110"/>
      <c r="I28" s="189">
        <v>7</v>
      </c>
      <c r="J28" s="188">
        <f t="shared" ref="J28" si="39">+C28*I28</f>
        <v>0</v>
      </c>
      <c r="K28" s="185">
        <f>ROUND(((+C28/3)+0.17),0)</f>
        <v>0</v>
      </c>
      <c r="L28" s="214"/>
      <c r="M28" s="214"/>
      <c r="N28" s="230">
        <f>960/1728</f>
        <v>0.55555555555555558</v>
      </c>
      <c r="O28" s="232">
        <f t="shared" si="37"/>
        <v>0</v>
      </c>
      <c r="P28" s="250">
        <f t="shared" si="35"/>
        <v>5.7831325301204819</v>
      </c>
      <c r="Q28" s="249">
        <f t="shared" si="36"/>
        <v>0</v>
      </c>
      <c r="S28" s="5"/>
    </row>
    <row r="29" spans="1:19" ht="3" customHeight="1">
      <c r="A29" s="114"/>
      <c r="B29" s="6"/>
      <c r="C29" s="117"/>
      <c r="D29" s="116"/>
      <c r="E29" s="115"/>
      <c r="F29" s="118"/>
      <c r="G29" s="56"/>
      <c r="H29" s="114"/>
      <c r="I29" s="187"/>
      <c r="J29" s="187"/>
      <c r="K29" s="187"/>
      <c r="L29" s="187"/>
      <c r="M29" s="187"/>
      <c r="N29" s="187"/>
      <c r="O29" s="187"/>
      <c r="P29" s="187"/>
      <c r="Q29" s="187"/>
    </row>
    <row r="30" spans="1:19">
      <c r="A30" s="102"/>
      <c r="B30" s="137" t="s">
        <v>108</v>
      </c>
      <c r="C30" s="138" t="str">
        <f>IF(SUM(C25:C29)&gt;0,SUM(C25:C29),"")</f>
        <v/>
      </c>
      <c r="D30" s="149"/>
      <c r="E30" s="150"/>
      <c r="F30" s="141"/>
      <c r="G30" s="142" t="str">
        <f>IF(SUM(G25:G29)&gt;0,SUM(G25:G29),"")</f>
        <v/>
      </c>
      <c r="H30" s="102"/>
      <c r="I30" s="204"/>
      <c r="J30" s="183">
        <f>SUM(J25:J29)</f>
        <v>0</v>
      </c>
      <c r="K30" s="183">
        <f>SUM(K25:K29)</f>
        <v>0</v>
      </c>
      <c r="L30" s="211"/>
      <c r="M30" s="212"/>
      <c r="N30" s="204"/>
      <c r="O30" s="183">
        <f>SUM(O25:O29)</f>
        <v>0</v>
      </c>
      <c r="P30" s="183"/>
      <c r="Q30" s="183">
        <f>SUM(Q25:Q29)</f>
        <v>0</v>
      </c>
    </row>
    <row r="31" spans="1:19">
      <c r="A31" s="119"/>
      <c r="C31" s="120"/>
      <c r="D31" s="127"/>
      <c r="F31" s="121"/>
      <c r="G31" s="122"/>
      <c r="H31" s="119"/>
      <c r="I31" s="159"/>
      <c r="J31" s="159"/>
      <c r="K31" s="159"/>
    </row>
    <row r="32" spans="1:19">
      <c r="A32" s="106"/>
      <c r="B32" s="107" t="s">
        <v>56</v>
      </c>
      <c r="C32" s="107" t="s">
        <v>59</v>
      </c>
      <c r="D32" s="108" t="s">
        <v>154</v>
      </c>
      <c r="E32" s="107" t="s">
        <v>57</v>
      </c>
      <c r="F32" s="123" t="s">
        <v>60</v>
      </c>
      <c r="G32" s="109" t="s">
        <v>61</v>
      </c>
      <c r="H32" s="16"/>
      <c r="I32" s="182" t="s">
        <v>379</v>
      </c>
      <c r="J32" s="182" t="s">
        <v>381</v>
      </c>
      <c r="K32" s="182" t="s">
        <v>380</v>
      </c>
      <c r="L32" s="191" t="s">
        <v>382</v>
      </c>
      <c r="M32" s="191" t="s">
        <v>383</v>
      </c>
      <c r="N32" s="182" t="s">
        <v>391</v>
      </c>
      <c r="O32" s="182" t="s">
        <v>488</v>
      </c>
      <c r="P32" s="247" t="s">
        <v>441</v>
      </c>
      <c r="Q32" s="247" t="s">
        <v>489</v>
      </c>
    </row>
    <row r="33" spans="1:17">
      <c r="A33" s="110"/>
      <c r="B33" s="111" t="s">
        <v>189</v>
      </c>
      <c r="C33" s="54"/>
      <c r="D33" s="113" t="s">
        <v>190</v>
      </c>
      <c r="E33" s="124" t="s">
        <v>135</v>
      </c>
      <c r="F33" s="251">
        <v>1</v>
      </c>
      <c r="G33" s="23" t="str">
        <f>IF(C33&gt;0,+(C33*F33),"")</f>
        <v/>
      </c>
      <c r="H33" s="110"/>
      <c r="I33" s="189">
        <v>0.21</v>
      </c>
      <c r="J33" s="188">
        <f>+C33*I33</f>
        <v>0</v>
      </c>
      <c r="K33" s="185">
        <f>+C33/6</f>
        <v>0</v>
      </c>
      <c r="L33" s="205"/>
      <c r="M33" s="206"/>
      <c r="N33" s="230">
        <f>112/1728</f>
        <v>6.4814814814814811E-2</v>
      </c>
      <c r="O33" s="232">
        <f t="shared" ref="O33" si="40">+C33*N33</f>
        <v>0</v>
      </c>
      <c r="P33" s="250">
        <f>((+N33*1728)/166)</f>
        <v>0.67469879518072284</v>
      </c>
      <c r="Q33" s="249">
        <f>IF(P33&gt;I33,+P33*C33,+I33*C33)</f>
        <v>0</v>
      </c>
    </row>
    <row r="34" spans="1:17">
      <c r="A34" s="110"/>
      <c r="B34" s="111" t="s">
        <v>191</v>
      </c>
      <c r="C34" s="54"/>
      <c r="D34" s="113" t="s">
        <v>192</v>
      </c>
      <c r="E34" s="124" t="s">
        <v>135</v>
      </c>
      <c r="F34" s="251">
        <v>1</v>
      </c>
      <c r="G34" s="23" t="str">
        <f>IF(C34&gt;0,+(C34*F34),"")</f>
        <v/>
      </c>
      <c r="H34" s="110"/>
      <c r="I34" s="189">
        <v>0.21</v>
      </c>
      <c r="J34" s="188">
        <f>+C34*I34</f>
        <v>0</v>
      </c>
      <c r="K34" s="185">
        <f>+C34/6</f>
        <v>0</v>
      </c>
      <c r="L34" s="207"/>
      <c r="M34" s="208"/>
      <c r="N34" s="230">
        <f t="shared" ref="N34:N36" si="41">112/1728</f>
        <v>6.4814814814814811E-2</v>
      </c>
      <c r="O34" s="232">
        <f t="shared" ref="O34:O36" si="42">+C34*N34</f>
        <v>0</v>
      </c>
      <c r="P34" s="250">
        <f t="shared" ref="P34:P37" si="43">((+N34*1728)/166)</f>
        <v>0.67469879518072284</v>
      </c>
      <c r="Q34" s="249">
        <f t="shared" ref="Q34:Q37" si="44">IF(P34&gt;I34,+P34*C34,+I34*C34)</f>
        <v>0</v>
      </c>
    </row>
    <row r="35" spans="1:17">
      <c r="A35" s="110"/>
      <c r="B35" s="111" t="s">
        <v>193</v>
      </c>
      <c r="C35" s="54"/>
      <c r="D35" s="113" t="s">
        <v>194</v>
      </c>
      <c r="E35" s="124" t="s">
        <v>135</v>
      </c>
      <c r="F35" s="251">
        <v>1</v>
      </c>
      <c r="G35" s="23" t="str">
        <f>IF(C35&gt;0,+(C35*F35),"")</f>
        <v/>
      </c>
      <c r="H35" s="110"/>
      <c r="I35" s="189">
        <v>0.21</v>
      </c>
      <c r="J35" s="188">
        <f>+C35*I35</f>
        <v>0</v>
      </c>
      <c r="K35" s="185">
        <f>+C35/6</f>
        <v>0</v>
      </c>
      <c r="L35" s="207"/>
      <c r="M35" s="208"/>
      <c r="N35" s="230">
        <f t="shared" si="41"/>
        <v>6.4814814814814811E-2</v>
      </c>
      <c r="O35" s="232">
        <f t="shared" si="42"/>
        <v>0</v>
      </c>
      <c r="P35" s="250">
        <f t="shared" si="43"/>
        <v>0.67469879518072284</v>
      </c>
      <c r="Q35" s="249">
        <f t="shared" si="44"/>
        <v>0</v>
      </c>
    </row>
    <row r="36" spans="1:17">
      <c r="A36" s="110"/>
      <c r="B36" s="111" t="s">
        <v>195</v>
      </c>
      <c r="C36" s="54"/>
      <c r="D36" s="113" t="s">
        <v>196</v>
      </c>
      <c r="E36" s="124" t="s">
        <v>135</v>
      </c>
      <c r="F36" s="251">
        <v>1</v>
      </c>
      <c r="G36" s="23" t="str">
        <f>IF(C36&gt;0,+(C36*F36),"")</f>
        <v/>
      </c>
      <c r="H36" s="110"/>
      <c r="I36" s="189">
        <v>0.21</v>
      </c>
      <c r="J36" s="188">
        <f>+C36*I36</f>
        <v>0</v>
      </c>
      <c r="K36" s="185">
        <f>+C36/6</f>
        <v>0</v>
      </c>
      <c r="L36" s="207"/>
      <c r="M36" s="208"/>
      <c r="N36" s="230">
        <f t="shared" si="41"/>
        <v>6.4814814814814811E-2</v>
      </c>
      <c r="O36" s="232">
        <f t="shared" si="42"/>
        <v>0</v>
      </c>
      <c r="P36" s="250">
        <f t="shared" si="43"/>
        <v>0.67469879518072284</v>
      </c>
      <c r="Q36" s="249">
        <f t="shared" si="44"/>
        <v>0</v>
      </c>
    </row>
    <row r="37" spans="1:17">
      <c r="A37" s="110"/>
      <c r="B37" s="111" t="s">
        <v>197</v>
      </c>
      <c r="C37" s="54"/>
      <c r="D37" s="113" t="s">
        <v>321</v>
      </c>
      <c r="E37" s="112" t="s">
        <v>155</v>
      </c>
      <c r="F37" s="251">
        <v>6</v>
      </c>
      <c r="G37" s="23" t="str">
        <f>IF(C37&gt;0,+(C37*F37),"")</f>
        <v/>
      </c>
      <c r="H37" s="110"/>
      <c r="I37" s="189">
        <v>0.5</v>
      </c>
      <c r="J37" s="188">
        <f>+C37*I37</f>
        <v>0</v>
      </c>
      <c r="K37" s="185">
        <f>+C37/10</f>
        <v>0</v>
      </c>
      <c r="L37" s="209"/>
      <c r="M37" s="210"/>
      <c r="N37" s="230">
        <f>36/1728</f>
        <v>2.0833333333333332E-2</v>
      </c>
      <c r="O37" s="232">
        <f t="shared" ref="O37" si="45">+C37*N37</f>
        <v>0</v>
      </c>
      <c r="P37" s="250">
        <f t="shared" si="43"/>
        <v>0.21686746987951808</v>
      </c>
      <c r="Q37" s="249">
        <f t="shared" si="44"/>
        <v>0</v>
      </c>
    </row>
    <row r="38" spans="1:17" ht="3" customHeight="1">
      <c r="A38" s="114"/>
      <c r="B38" s="6"/>
      <c r="C38" s="117"/>
      <c r="D38" s="116"/>
      <c r="E38" s="115"/>
      <c r="F38" s="118"/>
      <c r="G38" s="56"/>
      <c r="H38" s="114"/>
      <c r="I38" s="187"/>
      <c r="J38" s="187"/>
      <c r="K38" s="187"/>
      <c r="L38" s="187"/>
      <c r="M38" s="187"/>
      <c r="N38" s="187"/>
      <c r="O38" s="187"/>
      <c r="P38" s="187"/>
      <c r="Q38" s="187"/>
    </row>
    <row r="39" spans="1:17">
      <c r="A39" s="102"/>
      <c r="B39" s="137" t="s">
        <v>108</v>
      </c>
      <c r="C39" s="138" t="str">
        <f>IF(SUM(C33:C38)&gt;0,SUM(C33:C38),"")</f>
        <v/>
      </c>
      <c r="D39" s="149"/>
      <c r="E39" s="150"/>
      <c r="F39" s="141"/>
      <c r="G39" s="142" t="str">
        <f>IF(SUM(G33:G38)&gt;0,SUM(G33:G38),"")</f>
        <v/>
      </c>
      <c r="H39" s="102"/>
      <c r="I39" s="204"/>
      <c r="J39" s="183">
        <f>SUM(J33:J38)</f>
        <v>0</v>
      </c>
      <c r="K39" s="183">
        <f>SUM(K33:K38)</f>
        <v>0</v>
      </c>
      <c r="L39" s="211"/>
      <c r="M39" s="212"/>
      <c r="N39" s="204"/>
      <c r="O39" s="183">
        <f>SUM(O33:O38)</f>
        <v>0</v>
      </c>
      <c r="P39" s="183"/>
      <c r="Q39" s="183">
        <f t="shared" ref="Q39" si="46">SUM(Q33:Q38)</f>
        <v>0</v>
      </c>
    </row>
    <row r="40" spans="1:17">
      <c r="A40" s="119"/>
      <c r="B40" s="119"/>
      <c r="C40" s="120"/>
      <c r="E40" s="128"/>
      <c r="F40" s="96"/>
      <c r="G40" s="122"/>
      <c r="H40" s="119"/>
      <c r="I40" s="159"/>
      <c r="J40" s="159"/>
      <c r="K40" s="159"/>
    </row>
    <row r="41" spans="1:17">
      <c r="A41" s="106"/>
      <c r="B41" s="107" t="s">
        <v>56</v>
      </c>
      <c r="C41" s="107" t="s">
        <v>59</v>
      </c>
      <c r="D41" s="108" t="s">
        <v>394</v>
      </c>
      <c r="E41" s="107" t="s">
        <v>57</v>
      </c>
      <c r="F41" s="123" t="s">
        <v>60</v>
      </c>
      <c r="G41" s="109" t="s">
        <v>61</v>
      </c>
      <c r="H41" s="16"/>
      <c r="I41" s="182" t="s">
        <v>379</v>
      </c>
      <c r="J41" s="182" t="s">
        <v>381</v>
      </c>
      <c r="K41" s="182" t="s">
        <v>380</v>
      </c>
      <c r="L41" s="191" t="s">
        <v>382</v>
      </c>
      <c r="M41" s="191" t="s">
        <v>383</v>
      </c>
      <c r="N41" s="182" t="s">
        <v>391</v>
      </c>
      <c r="O41" s="182" t="s">
        <v>488</v>
      </c>
      <c r="P41" s="247" t="s">
        <v>441</v>
      </c>
      <c r="Q41" s="247" t="s">
        <v>489</v>
      </c>
    </row>
    <row r="42" spans="1:17">
      <c r="A42" s="110"/>
      <c r="B42" s="135"/>
      <c r="C42" s="234"/>
      <c r="D42" s="135"/>
      <c r="E42" s="234"/>
      <c r="F42" s="134"/>
      <c r="G42" s="133" t="str">
        <f t="shared" ref="G42:G44" si="47">IF(C42="","",+(C42*F42))</f>
        <v/>
      </c>
      <c r="H42" s="18"/>
      <c r="I42" s="219"/>
      <c r="J42" s="202"/>
      <c r="K42" s="202"/>
      <c r="L42" s="214"/>
      <c r="M42" s="203"/>
      <c r="N42" s="230"/>
      <c r="O42" s="202"/>
      <c r="P42" s="202"/>
      <c r="Q42" s="202"/>
    </row>
    <row r="43" spans="1:17">
      <c r="A43" s="110"/>
      <c r="B43" s="135"/>
      <c r="C43" s="234"/>
      <c r="D43" s="135"/>
      <c r="E43" s="234"/>
      <c r="F43" s="134"/>
      <c r="G43" s="133" t="str">
        <f t="shared" si="47"/>
        <v/>
      </c>
      <c r="H43" s="18"/>
      <c r="I43" s="219"/>
      <c r="J43" s="202"/>
      <c r="K43" s="202"/>
      <c r="L43" s="214"/>
      <c r="M43" s="203"/>
      <c r="N43" s="230"/>
      <c r="O43" s="202"/>
      <c r="P43" s="202"/>
      <c r="Q43" s="202"/>
    </row>
    <row r="44" spans="1:17">
      <c r="A44" s="110"/>
      <c r="B44" s="135"/>
      <c r="C44" s="234"/>
      <c r="D44" s="135"/>
      <c r="E44" s="234"/>
      <c r="F44" s="134"/>
      <c r="G44" s="133" t="str">
        <f t="shared" si="47"/>
        <v/>
      </c>
      <c r="H44" s="18"/>
      <c r="I44" s="219"/>
      <c r="J44" s="202"/>
      <c r="K44" s="202"/>
      <c r="L44" s="214"/>
      <c r="M44" s="203"/>
      <c r="N44" s="230"/>
      <c r="O44" s="202"/>
      <c r="P44" s="202"/>
      <c r="Q44" s="202"/>
    </row>
    <row r="45" spans="1:17" ht="3" customHeight="1">
      <c r="A45" s="114"/>
      <c r="B45" s="6"/>
      <c r="C45" s="117"/>
      <c r="D45" s="116"/>
      <c r="E45" s="115"/>
      <c r="F45" s="118"/>
      <c r="G45" s="56"/>
      <c r="H45" s="114"/>
      <c r="I45" s="187"/>
      <c r="J45" s="187"/>
      <c r="K45" s="187"/>
      <c r="L45" s="187"/>
      <c r="M45" s="187"/>
      <c r="N45" s="187"/>
      <c r="O45" s="187"/>
      <c r="P45" s="187"/>
      <c r="Q45" s="187"/>
    </row>
    <row r="46" spans="1:17">
      <c r="A46" s="102"/>
      <c r="B46" s="137" t="s">
        <v>108</v>
      </c>
      <c r="C46" s="138" t="str">
        <f>IF(SUM(C42:C45)&gt;0,SUM(C42:C45),"")</f>
        <v/>
      </c>
      <c r="D46" s="149"/>
      <c r="E46" s="150"/>
      <c r="F46" s="141"/>
      <c r="G46" s="142" t="str">
        <f>IF(SUM(G42:G45)&gt;0,SUM(G42:G45),"")</f>
        <v/>
      </c>
      <c r="H46" s="102"/>
      <c r="I46" s="204"/>
      <c r="J46" s="186">
        <f>SUM(J42:J45)</f>
        <v>0</v>
      </c>
      <c r="K46" s="186">
        <f>SUM(K42:K45)</f>
        <v>0</v>
      </c>
      <c r="L46" s="211"/>
      <c r="M46" s="212"/>
      <c r="N46" s="204"/>
      <c r="O46" s="186">
        <f>SUM(O42:O45)</f>
        <v>0</v>
      </c>
      <c r="P46" s="186"/>
      <c r="Q46" s="186">
        <f>SUM(Q42:Q45)</f>
        <v>0</v>
      </c>
    </row>
    <row r="47" spans="1:17">
      <c r="A47" s="119"/>
      <c r="B47" s="119"/>
      <c r="C47" s="120"/>
      <c r="E47" s="128"/>
      <c r="F47" s="96"/>
      <c r="G47" s="122"/>
      <c r="H47" s="119"/>
      <c r="I47" s="155"/>
      <c r="J47" s="155"/>
      <c r="K47" s="155"/>
    </row>
    <row r="48" spans="1:17">
      <c r="A48" s="101"/>
      <c r="B48" s="7"/>
      <c r="C48" s="8" t="s">
        <v>59</v>
      </c>
      <c r="D48" s="8" t="s">
        <v>324</v>
      </c>
      <c r="E48" s="7"/>
      <c r="F48" s="136"/>
      <c r="G48" s="37" t="s">
        <v>61</v>
      </c>
      <c r="H48" s="16"/>
      <c r="I48" s="182" t="s">
        <v>379</v>
      </c>
      <c r="J48" s="182" t="s">
        <v>381</v>
      </c>
      <c r="K48" s="182" t="s">
        <v>380</v>
      </c>
      <c r="L48" s="191" t="s">
        <v>382</v>
      </c>
      <c r="M48" s="191" t="s">
        <v>383</v>
      </c>
      <c r="N48" s="182" t="s">
        <v>391</v>
      </c>
      <c r="O48" s="182" t="s">
        <v>488</v>
      </c>
      <c r="P48" s="247" t="s">
        <v>441</v>
      </c>
      <c r="Q48" s="247" t="s">
        <v>489</v>
      </c>
    </row>
    <row r="49" spans="1:17">
      <c r="A49" s="102"/>
      <c r="B49" s="144" t="s">
        <v>108</v>
      </c>
      <c r="C49" s="145" t="str">
        <f>IF(SUM(C5:C48)&gt;1,SUM(C5:C48)/2,"")</f>
        <v/>
      </c>
      <c r="D49" s="149"/>
      <c r="E49" s="150"/>
      <c r="F49" s="141"/>
      <c r="G49" s="153" t="str">
        <f>IF(SUM(G5:G48)&gt;1,SUM(G5:G48)/2,"")</f>
        <v/>
      </c>
      <c r="H49" s="102"/>
      <c r="I49" s="204"/>
      <c r="J49" s="192">
        <f>SUM(J5:J48)/2</f>
        <v>0</v>
      </c>
      <c r="K49" s="192">
        <f>SUM(K5:K48)/2</f>
        <v>0</v>
      </c>
      <c r="L49" s="192">
        <f>SUM(L5:L48)</f>
        <v>0</v>
      </c>
      <c r="M49" s="192">
        <f>SUM(M5:M48)</f>
        <v>0</v>
      </c>
      <c r="N49" s="204"/>
      <c r="O49" s="192">
        <f>SUM(O5:O48)/2</f>
        <v>0</v>
      </c>
      <c r="P49" s="192"/>
      <c r="Q49" s="192">
        <f t="shared" ref="Q49" si="48">SUM(Q5:Q48)/2</f>
        <v>0</v>
      </c>
    </row>
    <row r="50" spans="1:17" ht="3" customHeight="1">
      <c r="A50" s="194"/>
      <c r="B50" s="193"/>
      <c r="C50" s="193"/>
      <c r="D50" s="193"/>
      <c r="E50" s="193"/>
      <c r="F50" s="193"/>
      <c r="G50" s="193"/>
      <c r="H50" s="194"/>
      <c r="I50" s="193"/>
      <c r="J50" s="193"/>
      <c r="K50" s="193"/>
      <c r="L50" s="193"/>
      <c r="M50" s="193"/>
      <c r="N50" s="193"/>
      <c r="O50" s="193"/>
      <c r="P50" s="193"/>
      <c r="Q50" s="193"/>
    </row>
    <row r="51" spans="1:17">
      <c r="A51" s="96"/>
      <c r="B51" s="252" t="str">
        <f>+Cover!$M$59</f>
        <v>Date Updated:</v>
      </c>
      <c r="C51" s="253">
        <f>+Cover!$N$59</f>
        <v>43242</v>
      </c>
      <c r="D51" s="254" t="str">
        <f>+Cover!$B$59</f>
        <v>© Pioneer Family Brands, Inc</v>
      </c>
      <c r="E51" s="255"/>
      <c r="F51" s="255"/>
      <c r="G51" s="255"/>
      <c r="H51" s="96"/>
    </row>
  </sheetData>
  <sheetProtection sheet="1" objects="1" scenarios="1" formatCells="0" selectLockedCells="1"/>
  <mergeCells count="2">
    <mergeCell ref="B3:C3"/>
    <mergeCell ref="E3:F3"/>
  </mergeCells>
  <phoneticPr fontId="3" type="noConversion"/>
  <pageMargins left="0.5" right="0.5" top="1" bottom="1" header="0.5" footer="0.5"/>
  <pageSetup scale="66" fitToHeight="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">
    <tabColor rgb="FFFF0000"/>
  </sheetPr>
  <dimension ref="A1:I235"/>
  <sheetViews>
    <sheetView zoomScale="70" zoomScaleNormal="70" workbookViewId="0">
      <pane ySplit="6" topLeftCell="A7" activePane="bottomLeft" state="frozen"/>
      <selection pane="bottomLeft" activeCell="B6" sqref="B6"/>
    </sheetView>
  </sheetViews>
  <sheetFormatPr defaultRowHeight="12.75"/>
  <cols>
    <col min="1" max="1" width="3.7109375" style="269" customWidth="1"/>
    <col min="2" max="3" width="15.7109375" style="270" customWidth="1"/>
    <col min="4" max="4" width="3.7109375" style="270" customWidth="1"/>
    <col min="5" max="6" width="15.7109375" style="273" customWidth="1"/>
    <col min="7" max="7" width="3.7109375" style="270" customWidth="1"/>
    <col min="8" max="9" width="15.7109375" style="273" customWidth="1"/>
    <col min="10" max="10" width="3.7109375" style="270" customWidth="1"/>
    <col min="11" max="16384" width="9.140625" style="270"/>
  </cols>
  <sheetData>
    <row r="1" spans="2:9">
      <c r="B1" s="278" t="s">
        <v>458</v>
      </c>
      <c r="E1" s="270"/>
      <c r="F1" s="270"/>
      <c r="H1" s="270"/>
      <c r="I1" s="270"/>
    </row>
    <row r="2" spans="2:9">
      <c r="B2" s="342" t="str">
        <f ca="1">IF(C235&lt;&gt;0,"Tropical Sno","")</f>
        <v/>
      </c>
      <c r="C2" s="342"/>
      <c r="E2" s="342" t="str">
        <f>IF(F119&lt;&gt;0,"Swan Parts","")</f>
        <v/>
      </c>
      <c r="F2" s="342"/>
      <c r="H2" s="342" t="str">
        <f>IF(I49&lt;&gt;0,"Soft Ice","")</f>
        <v/>
      </c>
      <c r="I2" s="342"/>
    </row>
    <row r="3" spans="2:9">
      <c r="B3" s="340" t="s">
        <v>456</v>
      </c>
      <c r="C3" s="340"/>
      <c r="E3" s="340" t="s">
        <v>455</v>
      </c>
      <c r="F3" s="340"/>
      <c r="H3" s="340" t="s">
        <v>454</v>
      </c>
      <c r="I3" s="340"/>
    </row>
    <row r="4" spans="2:9">
      <c r="B4" s="341" t="s">
        <v>198</v>
      </c>
      <c r="C4" s="341"/>
      <c r="E4" s="341" t="s">
        <v>200</v>
      </c>
      <c r="F4" s="341"/>
      <c r="H4" s="341" t="s">
        <v>199</v>
      </c>
      <c r="I4" s="341"/>
    </row>
    <row r="5" spans="2:9">
      <c r="B5" s="267" t="s">
        <v>56</v>
      </c>
      <c r="C5" s="267" t="s">
        <v>59</v>
      </c>
      <c r="E5" s="267" t="s">
        <v>56</v>
      </c>
      <c r="F5" s="267" t="s">
        <v>59</v>
      </c>
      <c r="H5" s="267" t="s">
        <v>56</v>
      </c>
      <c r="I5" s="267" t="s">
        <v>59</v>
      </c>
    </row>
    <row r="6" spans="2:9">
      <c r="B6" s="271" t="str">
        <f ca="1">IF(CELL("type",'Tropical Sno'!$C6)&lt;&gt;"v","",IF('Tropical Sno'!$B6="TOTAL:","",(IF('Tropical Sno'!$B6="CODE","",IF('Tropical Sno'!$C6&gt;0,'Tropical Sno'!B6,"")))))</f>
        <v/>
      </c>
      <c r="C6" s="271" t="str">
        <f ca="1">IF(CELL("type",'Tropical Sno'!$C6)&lt;&gt;"v","",IF('Tropical Sno'!$B6="TOTAL:","",(IF('Tropical Sno'!$B6="CODE","",IF('Tropical Sno'!$C6&gt;0,'Tropical Sno'!C6,"")))))</f>
        <v/>
      </c>
      <c r="E6" s="271" t="str">
        <f ca="1">IF(CELL("type",'Swan Parts'!$C6)&lt;&gt;"v","",IF('Swan Parts'!$B6="TOTAL:","",(IF('Swan Parts'!$B6="CODE","",IF('Swan Parts'!$C6&gt;0,'Swan Parts'!B6,"")))))</f>
        <v/>
      </c>
      <c r="F6" s="271" t="str">
        <f ca="1">IF(CELL("type",'Swan Parts'!$C6)&lt;&gt;"v","",IF('Swan Parts'!$B6="TOTAL:","",(IF('Swan Parts'!$B6="CODE","",IF('Swan Parts'!$C6&gt;0,'Swan Parts'!C6,"")))))</f>
        <v/>
      </c>
      <c r="H6" s="271" t="str">
        <f ca="1">IF(CELL("type",'Soft Ice'!$C6)&lt;&gt;"v","",IF('Soft Ice'!$B6="TOTAL:","",(IF('Soft Ice'!$B6="CODE","",IF('Soft Ice'!$C6&gt;0,'Soft Ice'!B6,"")))))</f>
        <v/>
      </c>
      <c r="I6" s="271" t="str">
        <f ca="1">IF(CELL("type",'Soft Ice'!$C6)&lt;&gt;"v","",IF('Soft Ice'!$B6="TOTAL:","",(IF('Soft Ice'!$B6="CODE","",IF('Soft Ice'!$C6&gt;0,'Soft Ice'!C6,"")))))</f>
        <v/>
      </c>
    </row>
    <row r="7" spans="2:9">
      <c r="B7" s="271" t="str">
        <f ca="1">IF(CELL("type",'Tropical Sno'!$C7)&lt;&gt;"v","",IF('Tropical Sno'!$B7="TOTAL:","",(IF('Tropical Sno'!$B7="CODE","",IF('Tropical Sno'!$C7&gt;0,'Tropical Sno'!B7,"")))))</f>
        <v/>
      </c>
      <c r="C7" s="271" t="str">
        <f ca="1">IF(CELL("type",'Tropical Sno'!$C7)&lt;&gt;"v","",IF('Tropical Sno'!$B7="TOTAL:","",(IF('Tropical Sno'!$B7="CODE","",IF('Tropical Sno'!$C7&gt;0,'Tropical Sno'!C7,"")))))</f>
        <v/>
      </c>
      <c r="E7" s="271" t="str">
        <f ca="1">IF(CELL("type",'Swan Parts'!$C7)&lt;&gt;"v","",IF('Swan Parts'!$B7="TOTAL:","",(IF('Swan Parts'!$B7="CODE","",IF('Swan Parts'!$C7&gt;0,'Swan Parts'!B7,"")))))</f>
        <v/>
      </c>
      <c r="F7" s="271" t="str">
        <f ca="1">IF(CELL("type",'Swan Parts'!$C7)&lt;&gt;"v","",IF('Swan Parts'!$B7="TOTAL:","",(IF('Swan Parts'!$B7="CODE","",IF('Swan Parts'!$C7&gt;0,'Swan Parts'!C7,"")))))</f>
        <v/>
      </c>
      <c r="H7" s="271" t="str">
        <f ca="1">IF(CELL("type",'Soft Ice'!$C7)&lt;&gt;"v","",IF('Soft Ice'!$B7="TOTAL:","",(IF('Soft Ice'!$B7="CODE","",IF('Soft Ice'!$C7&gt;0,'Soft Ice'!B7,"")))))</f>
        <v/>
      </c>
      <c r="I7" s="271" t="str">
        <f ca="1">IF(CELL("type",'Soft Ice'!$C7)&lt;&gt;"v","",IF('Soft Ice'!$B7="TOTAL:","",(IF('Soft Ice'!$B7="CODE","",IF('Soft Ice'!$C7&gt;0,'Soft Ice'!C7,"")))))</f>
        <v/>
      </c>
    </row>
    <row r="8" spans="2:9">
      <c r="B8" s="271" t="str">
        <f ca="1">IF(CELL("type",'Tropical Sno'!$C8)&lt;&gt;"v","",IF('Tropical Sno'!$B8="TOTAL:","",(IF('Tropical Sno'!$B8="CODE","",IF('Tropical Sno'!$C8&gt;0,'Tropical Sno'!B8,"")))))</f>
        <v/>
      </c>
      <c r="C8" s="271" t="str">
        <f ca="1">IF(CELL("type",'Tropical Sno'!$C8)&lt;&gt;"v","",IF('Tropical Sno'!$B8="TOTAL:","",(IF('Tropical Sno'!$B8="CODE","",IF('Tropical Sno'!$C8&gt;0,'Tropical Sno'!C8,"")))))</f>
        <v/>
      </c>
      <c r="E8" s="271" t="str">
        <f ca="1">IF(CELL("type",'Swan Parts'!$C8)&lt;&gt;"v","",IF('Swan Parts'!$B8="TOTAL:","",(IF('Swan Parts'!$B8="CODE","",IF('Swan Parts'!$C8&gt;0,'Swan Parts'!B8,"")))))</f>
        <v/>
      </c>
      <c r="F8" s="271" t="str">
        <f ca="1">IF(CELL("type",'Swan Parts'!$C8)&lt;&gt;"v","",IF('Swan Parts'!$B8="TOTAL:","",(IF('Swan Parts'!$B8="CODE","",IF('Swan Parts'!$C8&gt;0,'Swan Parts'!C8,"")))))</f>
        <v/>
      </c>
      <c r="H8" s="271" t="str">
        <f ca="1">IF(CELL("type",'Soft Ice'!$C8)&lt;&gt;"v","",IF('Soft Ice'!$B8="TOTAL:","",(IF('Soft Ice'!$B8="CODE","",IF('Soft Ice'!$C8&gt;0,'Soft Ice'!B8,"")))))</f>
        <v/>
      </c>
      <c r="I8" s="271" t="str">
        <f ca="1">IF(CELL("type",'Soft Ice'!$C8)&lt;&gt;"v","",IF('Soft Ice'!$B8="TOTAL:","",(IF('Soft Ice'!$B8="CODE","",IF('Soft Ice'!$C8&gt;0,'Soft Ice'!C8,"")))))</f>
        <v/>
      </c>
    </row>
    <row r="9" spans="2:9">
      <c r="B9" s="271" t="str">
        <f ca="1">IF(CELL("type",'Tropical Sno'!$C9)&lt;&gt;"v","",IF('Tropical Sno'!$B9="TOTAL:","",(IF('Tropical Sno'!$B9="CODE","",IF('Tropical Sno'!$C9&gt;0,'Tropical Sno'!B9,"")))))</f>
        <v/>
      </c>
      <c r="C9" s="271" t="str">
        <f ca="1">IF(CELL("type",'Tropical Sno'!$C9)&lt;&gt;"v","",IF('Tropical Sno'!$B9="TOTAL:","",(IF('Tropical Sno'!$B9="CODE","",IF('Tropical Sno'!$C9&gt;0,'Tropical Sno'!C9,"")))))</f>
        <v/>
      </c>
      <c r="E9" s="271" t="str">
        <f ca="1">IF(CELL("type",'Swan Parts'!$C9)&lt;&gt;"v","",IF('Swan Parts'!$B9="TOTAL:","",(IF('Swan Parts'!$B9="CODE","",IF('Swan Parts'!$C9&gt;0,'Swan Parts'!B9,"")))))</f>
        <v/>
      </c>
      <c r="F9" s="271" t="str">
        <f ca="1">IF(CELL("type",'Swan Parts'!$C9)&lt;&gt;"v","",IF('Swan Parts'!$B9="TOTAL:","",(IF('Swan Parts'!$B9="CODE","",IF('Swan Parts'!$C9&gt;0,'Swan Parts'!C9,"")))))</f>
        <v/>
      </c>
      <c r="H9" s="271" t="str">
        <f ca="1">IF(CELL("type",'Soft Ice'!$C9)&lt;&gt;"v","",IF('Soft Ice'!$B9="TOTAL:","",(IF('Soft Ice'!$B9="CODE","",IF('Soft Ice'!$C9&gt;0,'Soft Ice'!B9,"")))))</f>
        <v/>
      </c>
      <c r="I9" s="271" t="str">
        <f ca="1">IF(CELL("type",'Soft Ice'!$C9)&lt;&gt;"v","",IF('Soft Ice'!$B9="TOTAL:","",(IF('Soft Ice'!$B9="CODE","",IF('Soft Ice'!$C9&gt;0,'Soft Ice'!C9,"")))))</f>
        <v/>
      </c>
    </row>
    <row r="10" spans="2:9">
      <c r="B10" s="271" t="str">
        <f ca="1">IF(CELL("type",'Tropical Sno'!$C10)&lt;&gt;"v","",IF('Tropical Sno'!$B10="TOTAL:","",(IF('Tropical Sno'!$B10="CODE","",IF('Tropical Sno'!$C10&gt;0,'Tropical Sno'!B10,"")))))</f>
        <v/>
      </c>
      <c r="C10" s="271" t="str">
        <f ca="1">IF(CELL("type",'Tropical Sno'!$C10)&lt;&gt;"v","",IF('Tropical Sno'!$B10="TOTAL:","",(IF('Tropical Sno'!$B10="CODE","",IF('Tropical Sno'!$C10&gt;0,'Tropical Sno'!C10,"")))))</f>
        <v/>
      </c>
      <c r="E10" s="271" t="str">
        <f ca="1">IF(CELL("type",'Swan Parts'!$C10)&lt;&gt;"v","",IF('Swan Parts'!$B10="TOTAL:","",(IF('Swan Parts'!$B10="CODE","",IF('Swan Parts'!$C10&gt;0,'Swan Parts'!B10,"")))))</f>
        <v/>
      </c>
      <c r="F10" s="271" t="str">
        <f ca="1">IF(CELL("type",'Swan Parts'!$C10)&lt;&gt;"v","",IF('Swan Parts'!$B10="TOTAL:","",(IF('Swan Parts'!$B10="CODE","",IF('Swan Parts'!$C10&gt;0,'Swan Parts'!C10,"")))))</f>
        <v/>
      </c>
      <c r="H10" s="271" t="str">
        <f ca="1">IF(CELL("type",'Soft Ice'!$C10)&lt;&gt;"v","",IF('Soft Ice'!$B10="TOTAL:","",(IF('Soft Ice'!$B10="CODE","",IF('Soft Ice'!$C10&gt;0,'Soft Ice'!B10,"")))))</f>
        <v/>
      </c>
      <c r="I10" s="271" t="str">
        <f ca="1">IF(CELL("type",'Soft Ice'!$C10)&lt;&gt;"v","",IF('Soft Ice'!$B10="TOTAL:","",(IF('Soft Ice'!$B10="CODE","",IF('Soft Ice'!$C10&gt;0,'Soft Ice'!C10,"")))))</f>
        <v/>
      </c>
    </row>
    <row r="11" spans="2:9">
      <c r="B11" s="271" t="str">
        <f ca="1">IF(CELL("type",'Tropical Sno'!$C11)&lt;&gt;"v","",IF('Tropical Sno'!$B11="TOTAL:","",(IF('Tropical Sno'!$B11="CODE","",IF('Tropical Sno'!$C11&gt;0,'Tropical Sno'!B11,"")))))</f>
        <v/>
      </c>
      <c r="C11" s="271" t="str">
        <f ca="1">IF(CELL("type",'Tropical Sno'!$C11)&lt;&gt;"v","",IF('Tropical Sno'!$B11="TOTAL:","",(IF('Tropical Sno'!$B11="CODE","",IF('Tropical Sno'!$C11&gt;0,'Tropical Sno'!C11,"")))))</f>
        <v/>
      </c>
      <c r="E11" s="271" t="str">
        <f ca="1">IF(CELL("type",'Swan Parts'!$C11)&lt;&gt;"v","",IF('Swan Parts'!$B11="TOTAL:","",(IF('Swan Parts'!$B11="CODE","",IF('Swan Parts'!$C11&gt;0,'Swan Parts'!B11,"")))))</f>
        <v/>
      </c>
      <c r="F11" s="271" t="str">
        <f ca="1">IF(CELL("type",'Swan Parts'!$C11)&lt;&gt;"v","",IF('Swan Parts'!$B11="TOTAL:","",(IF('Swan Parts'!$B11="CODE","",IF('Swan Parts'!$C11&gt;0,'Swan Parts'!C11,"")))))</f>
        <v/>
      </c>
      <c r="H11" s="271" t="str">
        <f ca="1">IF(CELL("type",'Soft Ice'!$C11)&lt;&gt;"v","",IF('Soft Ice'!$B11="TOTAL:","",(IF('Soft Ice'!$B11="CODE","",IF('Soft Ice'!$C11&gt;0,'Soft Ice'!B11,"")))))</f>
        <v/>
      </c>
      <c r="I11" s="271" t="str">
        <f ca="1">IF(CELL("type",'Soft Ice'!$C11)&lt;&gt;"v","",IF('Soft Ice'!$B11="TOTAL:","",(IF('Soft Ice'!$B11="CODE","",IF('Soft Ice'!$C11&gt;0,'Soft Ice'!C11,"")))))</f>
        <v/>
      </c>
    </row>
    <row r="12" spans="2:9">
      <c r="B12" s="271" t="str">
        <f ca="1">IF(CELL("type",'Tropical Sno'!$C12)&lt;&gt;"v","",IF('Tropical Sno'!$B12="TOTAL:","",(IF('Tropical Sno'!$B12="CODE","",IF('Tropical Sno'!$C12&gt;0,'Tropical Sno'!B12,"")))))</f>
        <v/>
      </c>
      <c r="C12" s="271" t="str">
        <f ca="1">IF(CELL("type",'Tropical Sno'!$C12)&lt;&gt;"v","",IF('Tropical Sno'!$B12="TOTAL:","",(IF('Tropical Sno'!$B12="CODE","",IF('Tropical Sno'!$C12&gt;0,'Tropical Sno'!C12,"")))))</f>
        <v/>
      </c>
      <c r="E12" s="271" t="str">
        <f ca="1">IF(CELL("type",'Swan Parts'!$C12)&lt;&gt;"v","",IF('Swan Parts'!$B12="TOTAL:","",(IF('Swan Parts'!$B12="CODE","",IF('Swan Parts'!$C12&gt;0,'Swan Parts'!B12,"")))))</f>
        <v/>
      </c>
      <c r="F12" s="271" t="str">
        <f ca="1">IF(CELL("type",'Swan Parts'!$C12)&lt;&gt;"v","",IF('Swan Parts'!$B12="TOTAL:","",(IF('Swan Parts'!$B12="CODE","",IF('Swan Parts'!$C12&gt;0,'Swan Parts'!C12,"")))))</f>
        <v/>
      </c>
      <c r="H12" s="271" t="str">
        <f ca="1">IF(CELL("type",'Soft Ice'!$C12)&lt;&gt;"v","",IF('Soft Ice'!$B12="TOTAL:","",(IF('Soft Ice'!$B12="CODE","",IF('Soft Ice'!$C12&gt;0,'Soft Ice'!B12,"")))))</f>
        <v/>
      </c>
      <c r="I12" s="271" t="str">
        <f ca="1">IF(CELL("type",'Soft Ice'!$C12)&lt;&gt;"v","",IF('Soft Ice'!$B12="TOTAL:","",(IF('Soft Ice'!$B12="CODE","",IF('Soft Ice'!$C12&gt;0,'Soft Ice'!C12,"")))))</f>
        <v/>
      </c>
    </row>
    <row r="13" spans="2:9">
      <c r="B13" s="271" t="str">
        <f ca="1">IF(CELL("type",'Tropical Sno'!$C13)&lt;&gt;"v","",IF('Tropical Sno'!$B13="TOTAL:","",(IF('Tropical Sno'!$B13="CODE","",IF('Tropical Sno'!$C13&gt;0,'Tropical Sno'!B13,"")))))</f>
        <v/>
      </c>
      <c r="C13" s="271" t="str">
        <f ca="1">IF(CELL("type",'Tropical Sno'!$C13)&lt;&gt;"v","",IF('Tropical Sno'!$B13="TOTAL:","",(IF('Tropical Sno'!$B13="CODE","",IF('Tropical Sno'!$C13&gt;0,'Tropical Sno'!C13,"")))))</f>
        <v/>
      </c>
      <c r="E13" s="271" t="str">
        <f ca="1">IF(CELL("type",'Swan Parts'!$C13)&lt;&gt;"v","",IF('Swan Parts'!$B13="TOTAL:","",(IF('Swan Parts'!$B13="CODE","",IF('Swan Parts'!$C13&gt;0,'Swan Parts'!B13,"")))))</f>
        <v/>
      </c>
      <c r="F13" s="271" t="str">
        <f ca="1">IF(CELL("type",'Swan Parts'!$C13)&lt;&gt;"v","",IF('Swan Parts'!$B13="TOTAL:","",(IF('Swan Parts'!$B13="CODE","",IF('Swan Parts'!$C13&gt;0,'Swan Parts'!C13,"")))))</f>
        <v/>
      </c>
      <c r="H13" s="271" t="str">
        <f ca="1">IF(CELL("type",'Soft Ice'!$C13)&lt;&gt;"v","",IF('Soft Ice'!$B13="TOTAL:","",(IF('Soft Ice'!$B13="CODE","",IF('Soft Ice'!$C13&gt;0,'Soft Ice'!B13,"")))))</f>
        <v/>
      </c>
      <c r="I13" s="271" t="str">
        <f ca="1">IF(CELL("type",'Soft Ice'!$C13)&lt;&gt;"v","",IF('Soft Ice'!$B13="TOTAL:","",(IF('Soft Ice'!$B13="CODE","",IF('Soft Ice'!$C13&gt;0,'Soft Ice'!C13,"")))))</f>
        <v/>
      </c>
    </row>
    <row r="14" spans="2:9">
      <c r="B14" s="271" t="str">
        <f ca="1">IF(CELL("type",'Tropical Sno'!$C14)&lt;&gt;"v","",IF('Tropical Sno'!$B14="TOTAL:","",(IF('Tropical Sno'!$B14="CODE","",IF('Tropical Sno'!$C14&gt;0,'Tropical Sno'!B14,"")))))</f>
        <v/>
      </c>
      <c r="C14" s="271" t="str">
        <f ca="1">IF(CELL("type",'Tropical Sno'!$C14)&lt;&gt;"v","",IF('Tropical Sno'!$B14="TOTAL:","",(IF('Tropical Sno'!$B14="CODE","",IF('Tropical Sno'!$C14&gt;0,'Tropical Sno'!C14,"")))))</f>
        <v/>
      </c>
      <c r="E14" s="271" t="str">
        <f ca="1">IF(CELL("type",'Swan Parts'!$C14)&lt;&gt;"v","",IF('Swan Parts'!$B14="TOTAL:","",(IF('Swan Parts'!$B14="CODE","",IF('Swan Parts'!$C14&gt;0,'Swan Parts'!B14,"")))))</f>
        <v/>
      </c>
      <c r="F14" s="271" t="str">
        <f ca="1">IF(CELL("type",'Swan Parts'!$C14)&lt;&gt;"v","",IF('Swan Parts'!$B14="TOTAL:","",(IF('Swan Parts'!$B14="CODE","",IF('Swan Parts'!$C14&gt;0,'Swan Parts'!C14,"")))))</f>
        <v/>
      </c>
      <c r="H14" s="271" t="str">
        <f ca="1">IF(CELL("type",'Soft Ice'!$C14)&lt;&gt;"v","",IF('Soft Ice'!$B14="TOTAL:","",(IF('Soft Ice'!$B14="CODE","",IF('Soft Ice'!$C14&gt;0,'Soft Ice'!B14,"")))))</f>
        <v/>
      </c>
      <c r="I14" s="271" t="str">
        <f ca="1">IF(CELL("type",'Soft Ice'!$C14)&lt;&gt;"v","",IF('Soft Ice'!$B14="TOTAL:","",(IF('Soft Ice'!$B14="CODE","",IF('Soft Ice'!$C14&gt;0,'Soft Ice'!C14,"")))))</f>
        <v/>
      </c>
    </row>
    <row r="15" spans="2:9">
      <c r="B15" s="271" t="str">
        <f ca="1">IF(CELL("type",'Tropical Sno'!$C15)&lt;&gt;"v","",IF('Tropical Sno'!$B15="TOTAL:","",(IF('Tropical Sno'!$B15="CODE","",IF('Tropical Sno'!$C15&gt;0,'Tropical Sno'!B15,"")))))</f>
        <v/>
      </c>
      <c r="C15" s="271" t="str">
        <f ca="1">IF(CELL("type",'Tropical Sno'!$C15)&lt;&gt;"v","",IF('Tropical Sno'!$B15="TOTAL:","",(IF('Tropical Sno'!$B15="CODE","",IF('Tropical Sno'!$C15&gt;0,'Tropical Sno'!C15,"")))))</f>
        <v/>
      </c>
      <c r="E15" s="271" t="str">
        <f ca="1">IF(CELL("type",'Swan Parts'!$C15)&lt;&gt;"v","",IF('Swan Parts'!$B15="TOTAL:","",(IF('Swan Parts'!$B15="CODE","",IF('Swan Parts'!$C15&gt;0,'Swan Parts'!B15,"")))))</f>
        <v/>
      </c>
      <c r="F15" s="271" t="str">
        <f ca="1">IF(CELL("type",'Swan Parts'!$C15)&lt;&gt;"v","",IF('Swan Parts'!$B15="TOTAL:","",(IF('Swan Parts'!$B15="CODE","",IF('Swan Parts'!$C15&gt;0,'Swan Parts'!C15,"")))))</f>
        <v/>
      </c>
      <c r="H15" s="271" t="str">
        <f ca="1">IF(CELL("type",'Soft Ice'!$C15)&lt;&gt;"v","",IF('Soft Ice'!$B15="TOTAL:","",(IF('Soft Ice'!$B15="CODE","",IF('Soft Ice'!$C15&gt;0,'Soft Ice'!B15,"")))))</f>
        <v/>
      </c>
      <c r="I15" s="271" t="str">
        <f ca="1">IF(CELL("type",'Soft Ice'!$C15)&lt;&gt;"v","",IF('Soft Ice'!$B15="TOTAL:","",(IF('Soft Ice'!$B15="CODE","",IF('Soft Ice'!$C15&gt;0,'Soft Ice'!C15,"")))))</f>
        <v/>
      </c>
    </row>
    <row r="16" spans="2:9">
      <c r="B16" s="271" t="str">
        <f ca="1">IF(CELL("type",'Tropical Sno'!$C16)&lt;&gt;"v","",IF('Tropical Sno'!$B16="TOTAL:","",(IF('Tropical Sno'!$B16="CODE","",IF('Tropical Sno'!$C16&gt;0,'Tropical Sno'!B16,"")))))</f>
        <v/>
      </c>
      <c r="C16" s="271" t="str">
        <f ca="1">IF(CELL("type",'Tropical Sno'!$C16)&lt;&gt;"v","",IF('Tropical Sno'!$B16="TOTAL:","",(IF('Tropical Sno'!$B16="CODE","",IF('Tropical Sno'!$C16&gt;0,'Tropical Sno'!C16,"")))))</f>
        <v/>
      </c>
      <c r="E16" s="271" t="str">
        <f ca="1">IF(CELL("type",'Swan Parts'!$C16)&lt;&gt;"v","",IF('Swan Parts'!$B16="TOTAL:","",(IF('Swan Parts'!$B16="CODE","",IF('Swan Parts'!$C16&gt;0,'Swan Parts'!B16,"")))))</f>
        <v/>
      </c>
      <c r="F16" s="271" t="str">
        <f ca="1">IF(CELL("type",'Swan Parts'!$C16)&lt;&gt;"v","",IF('Swan Parts'!$B16="TOTAL:","",(IF('Swan Parts'!$B16="CODE","",IF('Swan Parts'!$C16&gt;0,'Swan Parts'!C16,"")))))</f>
        <v/>
      </c>
      <c r="H16" s="271" t="str">
        <f ca="1">IF(CELL("type",'Soft Ice'!$C16)&lt;&gt;"v","",IF('Soft Ice'!$B16="TOTAL:","",(IF('Soft Ice'!$B16="CODE","",IF('Soft Ice'!$C16&gt;0,'Soft Ice'!B16,"")))))</f>
        <v/>
      </c>
      <c r="I16" s="271" t="str">
        <f ca="1">IF(CELL("type",'Soft Ice'!$C16)&lt;&gt;"v","",IF('Soft Ice'!$B16="TOTAL:","",(IF('Soft Ice'!$B16="CODE","",IF('Soft Ice'!$C16&gt;0,'Soft Ice'!C16,"")))))</f>
        <v/>
      </c>
    </row>
    <row r="17" spans="2:9">
      <c r="B17" s="271" t="str">
        <f ca="1">IF(CELL("type",'Tropical Sno'!$C17)&lt;&gt;"v","",IF('Tropical Sno'!$B17="TOTAL:","",(IF('Tropical Sno'!$B17="CODE","",IF('Tropical Sno'!$C17&gt;0,'Tropical Sno'!B17,"")))))</f>
        <v/>
      </c>
      <c r="C17" s="271" t="str">
        <f ca="1">IF(CELL("type",'Tropical Sno'!$C17)&lt;&gt;"v","",IF('Tropical Sno'!$B17="TOTAL:","",(IF('Tropical Sno'!$B17="CODE","",IF('Tropical Sno'!$C17&gt;0,'Tropical Sno'!C17,"")))))</f>
        <v/>
      </c>
      <c r="E17" s="271" t="str">
        <f ca="1">IF(CELL("type",'Swan Parts'!$C17)&lt;&gt;"v","",IF('Swan Parts'!$B17="TOTAL:","",(IF('Swan Parts'!$B17="CODE","",IF('Swan Parts'!$C17&gt;0,'Swan Parts'!B17,"")))))</f>
        <v/>
      </c>
      <c r="F17" s="271" t="str">
        <f ca="1">IF(CELL("type",'Swan Parts'!$C17)&lt;&gt;"v","",IF('Swan Parts'!$B17="TOTAL:","",(IF('Swan Parts'!$B17="CODE","",IF('Swan Parts'!$C17&gt;0,'Swan Parts'!C17,"")))))</f>
        <v/>
      </c>
      <c r="H17" s="271" t="str">
        <f ca="1">IF(CELL("type",'Soft Ice'!$C17)&lt;&gt;"v","",IF('Soft Ice'!$B17="TOTAL:","",(IF('Soft Ice'!$B17="CODE","",IF('Soft Ice'!$C17&gt;0,'Soft Ice'!B17,"")))))</f>
        <v/>
      </c>
      <c r="I17" s="271" t="str">
        <f ca="1">IF(CELL("type",'Soft Ice'!$C17)&lt;&gt;"v","",IF('Soft Ice'!$B17="TOTAL:","",(IF('Soft Ice'!$B17="CODE","",IF('Soft Ice'!$C17&gt;0,'Soft Ice'!C17,"")))))</f>
        <v/>
      </c>
    </row>
    <row r="18" spans="2:9">
      <c r="B18" s="271" t="str">
        <f ca="1">IF(CELL("type",'Tropical Sno'!$C18)&lt;&gt;"v","",IF('Tropical Sno'!$B18="TOTAL:","",(IF('Tropical Sno'!$B18="CODE","",IF('Tropical Sno'!$C18&gt;0,'Tropical Sno'!B18,"")))))</f>
        <v/>
      </c>
      <c r="C18" s="271" t="str">
        <f ca="1">IF(CELL("type",'Tropical Sno'!$C18)&lt;&gt;"v","",IF('Tropical Sno'!$B18="TOTAL:","",(IF('Tropical Sno'!$B18="CODE","",IF('Tropical Sno'!$C18&gt;0,'Tropical Sno'!C18,"")))))</f>
        <v/>
      </c>
      <c r="E18" s="271" t="str">
        <f ca="1">IF(CELL("type",'Swan Parts'!$C18)&lt;&gt;"v","",IF('Swan Parts'!$B18="TOTAL:","",(IF('Swan Parts'!$B18="CODE","",IF('Swan Parts'!$C18&gt;0,'Swan Parts'!B18,"")))))</f>
        <v/>
      </c>
      <c r="F18" s="271" t="str">
        <f ca="1">IF(CELL("type",'Swan Parts'!$C18)&lt;&gt;"v","",IF('Swan Parts'!$B18="TOTAL:","",(IF('Swan Parts'!$B18="CODE","",IF('Swan Parts'!$C18&gt;0,'Swan Parts'!C18,"")))))</f>
        <v/>
      </c>
      <c r="H18" s="271" t="str">
        <f ca="1">IF(CELL("type",'Soft Ice'!$C18)&lt;&gt;"v","",IF('Soft Ice'!$B18="TOTAL:","",(IF('Soft Ice'!$B18="CODE","",IF('Soft Ice'!$C18&gt;0,'Soft Ice'!B18,"")))))</f>
        <v/>
      </c>
      <c r="I18" s="271" t="str">
        <f ca="1">IF(CELL("type",'Soft Ice'!$C18)&lt;&gt;"v","",IF('Soft Ice'!$B18="TOTAL:","",(IF('Soft Ice'!$B18="CODE","",IF('Soft Ice'!$C18&gt;0,'Soft Ice'!C18,"")))))</f>
        <v/>
      </c>
    </row>
    <row r="19" spans="2:9">
      <c r="B19" s="271" t="str">
        <f ca="1">IF(CELL("type",'Tropical Sno'!$C19)&lt;&gt;"v","",IF('Tropical Sno'!$B19="TOTAL:","",(IF('Tropical Sno'!$B19="CODE","",IF('Tropical Sno'!$C19&gt;0,'Tropical Sno'!B19,"")))))</f>
        <v/>
      </c>
      <c r="C19" s="271" t="str">
        <f ca="1">IF(CELL("type",'Tropical Sno'!$C19)&lt;&gt;"v","",IF('Tropical Sno'!$B19="TOTAL:","",(IF('Tropical Sno'!$B19="CODE","",IF('Tropical Sno'!$C19&gt;0,'Tropical Sno'!C19,"")))))</f>
        <v/>
      </c>
      <c r="E19" s="271" t="str">
        <f ca="1">IF(CELL("type",'Swan Parts'!$C19)&lt;&gt;"v","",IF('Swan Parts'!$B19="TOTAL:","",(IF('Swan Parts'!$B19="CODE","",IF('Swan Parts'!$C19&gt;0,'Swan Parts'!B19,"")))))</f>
        <v/>
      </c>
      <c r="F19" s="271" t="str">
        <f ca="1">IF(CELL("type",'Swan Parts'!$C19)&lt;&gt;"v","",IF('Swan Parts'!$B19="TOTAL:","",(IF('Swan Parts'!$B19="CODE","",IF('Swan Parts'!$C19&gt;0,'Swan Parts'!C19,"")))))</f>
        <v/>
      </c>
      <c r="H19" s="271" t="str">
        <f ca="1">IF(CELL("type",'Soft Ice'!$C19)&lt;&gt;"v","",IF('Soft Ice'!$B19="TOTAL:","",(IF('Soft Ice'!$B19="CODE","",IF('Soft Ice'!$C19&gt;0,'Soft Ice'!B19,"")))))</f>
        <v/>
      </c>
      <c r="I19" s="271" t="str">
        <f ca="1">IF(CELL("type",'Soft Ice'!$C19)&lt;&gt;"v","",IF('Soft Ice'!$B19="TOTAL:","",(IF('Soft Ice'!$B19="CODE","",IF('Soft Ice'!$C19&gt;0,'Soft Ice'!C19,"")))))</f>
        <v/>
      </c>
    </row>
    <row r="20" spans="2:9">
      <c r="B20" s="271" t="str">
        <f ca="1">IF(CELL("type",'Tropical Sno'!$C20)&lt;&gt;"v","",IF('Tropical Sno'!$B20="TOTAL:","",(IF('Tropical Sno'!$B20="CODE","",IF('Tropical Sno'!$C20&gt;0,'Tropical Sno'!B20,"")))))</f>
        <v/>
      </c>
      <c r="C20" s="271" t="str">
        <f ca="1">IF(CELL("type",'Tropical Sno'!$C20)&lt;&gt;"v","",IF('Tropical Sno'!$B20="TOTAL:","",(IF('Tropical Sno'!$B20="CODE","",IF('Tropical Sno'!$C20&gt;0,'Tropical Sno'!C20,"")))))</f>
        <v/>
      </c>
      <c r="E20" s="271" t="str">
        <f ca="1">IF(CELL("type",'Swan Parts'!$C20)&lt;&gt;"v","",IF('Swan Parts'!$B20="TOTAL:","",(IF('Swan Parts'!$B20="CODE","",IF('Swan Parts'!$C20&gt;0,'Swan Parts'!B20,"")))))</f>
        <v/>
      </c>
      <c r="F20" s="271" t="str">
        <f ca="1">IF(CELL("type",'Swan Parts'!$C20)&lt;&gt;"v","",IF('Swan Parts'!$B20="TOTAL:","",(IF('Swan Parts'!$B20="CODE","",IF('Swan Parts'!$C20&gt;0,'Swan Parts'!C20,"")))))</f>
        <v/>
      </c>
      <c r="H20" s="271" t="str">
        <f ca="1">IF(CELL("type",'Soft Ice'!$C20)&lt;&gt;"v","",IF('Soft Ice'!$B20="TOTAL:","",(IF('Soft Ice'!$B20="CODE","",IF('Soft Ice'!$C20&gt;0,'Soft Ice'!B20,"")))))</f>
        <v/>
      </c>
      <c r="I20" s="271" t="str">
        <f ca="1">IF(CELL("type",'Soft Ice'!$C20)&lt;&gt;"v","",IF('Soft Ice'!$B20="TOTAL:","",(IF('Soft Ice'!$B20="CODE","",IF('Soft Ice'!$C20&gt;0,'Soft Ice'!C20,"")))))</f>
        <v/>
      </c>
    </row>
    <row r="21" spans="2:9">
      <c r="B21" s="271" t="str">
        <f ca="1">IF(CELL("type",'Tropical Sno'!$C21)&lt;&gt;"v","",IF('Tropical Sno'!$B21="TOTAL:","",(IF('Tropical Sno'!$B21="CODE","",IF('Tropical Sno'!$C21&gt;0,'Tropical Sno'!B21,"")))))</f>
        <v/>
      </c>
      <c r="C21" s="271" t="str">
        <f ca="1">IF(CELL("type",'Tropical Sno'!$C21)&lt;&gt;"v","",IF('Tropical Sno'!$B21="TOTAL:","",(IF('Tropical Sno'!$B21="CODE","",IF('Tropical Sno'!$C21&gt;0,'Tropical Sno'!C21,"")))))</f>
        <v/>
      </c>
      <c r="E21" s="271" t="str">
        <f ca="1">IF(CELL("type",'Swan Parts'!$C21)&lt;&gt;"v","",IF('Swan Parts'!$B21="TOTAL:","",(IF('Swan Parts'!$B21="CODE","",IF('Swan Parts'!$C21&gt;0,'Swan Parts'!B21,"")))))</f>
        <v/>
      </c>
      <c r="F21" s="271" t="str">
        <f ca="1">IF(CELL("type",'Swan Parts'!$C21)&lt;&gt;"v","",IF('Swan Parts'!$B21="TOTAL:","",(IF('Swan Parts'!$B21="CODE","",IF('Swan Parts'!$C21&gt;0,'Swan Parts'!C21,"")))))</f>
        <v/>
      </c>
      <c r="H21" s="271" t="str">
        <f ca="1">IF(CELL("type",'Soft Ice'!$C21)&lt;&gt;"v","",IF('Soft Ice'!$B21="TOTAL:","",(IF('Soft Ice'!$B21="CODE","",IF('Soft Ice'!$C21&gt;0,'Soft Ice'!B21,"")))))</f>
        <v/>
      </c>
      <c r="I21" s="271" t="str">
        <f ca="1">IF(CELL("type",'Soft Ice'!$C21)&lt;&gt;"v","",IF('Soft Ice'!$B21="TOTAL:","",(IF('Soft Ice'!$B21="CODE","",IF('Soft Ice'!$C21&gt;0,'Soft Ice'!C21,"")))))</f>
        <v/>
      </c>
    </row>
    <row r="22" spans="2:9">
      <c r="B22" s="271" t="str">
        <f ca="1">IF(CELL("type",'Tropical Sno'!$C22)&lt;&gt;"v","",IF('Tropical Sno'!$B22="TOTAL:","",(IF('Tropical Sno'!$B22="CODE","",IF('Tropical Sno'!$C22&gt;0,'Tropical Sno'!B22,"")))))</f>
        <v/>
      </c>
      <c r="C22" s="271" t="str">
        <f ca="1">IF(CELL("type",'Tropical Sno'!$C22)&lt;&gt;"v","",IF('Tropical Sno'!$B22="TOTAL:","",(IF('Tropical Sno'!$B22="CODE","",IF('Tropical Sno'!$C22&gt;0,'Tropical Sno'!C22,"")))))</f>
        <v/>
      </c>
      <c r="E22" s="271" t="str">
        <f ca="1">IF(CELL("type",'Swan Parts'!$C22)&lt;&gt;"v","",IF('Swan Parts'!$B22="TOTAL:","",(IF('Swan Parts'!$B22="CODE","",IF('Swan Parts'!$C22&gt;0,'Swan Parts'!B22,"")))))</f>
        <v/>
      </c>
      <c r="F22" s="271" t="str">
        <f ca="1">IF(CELL("type",'Swan Parts'!$C22)&lt;&gt;"v","",IF('Swan Parts'!$B22="TOTAL:","",(IF('Swan Parts'!$B22="CODE","",IF('Swan Parts'!$C22&gt;0,'Swan Parts'!C22,"")))))</f>
        <v/>
      </c>
      <c r="H22" s="271" t="str">
        <f ca="1">IF(CELL("type",'Soft Ice'!$C22)&lt;&gt;"v","",IF('Soft Ice'!$B22="TOTAL:","",(IF('Soft Ice'!$B22="CODE","",IF('Soft Ice'!$C22&gt;0,'Soft Ice'!B22,"")))))</f>
        <v/>
      </c>
      <c r="I22" s="271" t="str">
        <f ca="1">IF(CELL("type",'Soft Ice'!$C22)&lt;&gt;"v","",IF('Soft Ice'!$B22="TOTAL:","",(IF('Soft Ice'!$B22="CODE","",IF('Soft Ice'!$C22&gt;0,'Soft Ice'!C22,"")))))</f>
        <v/>
      </c>
    </row>
    <row r="23" spans="2:9">
      <c r="B23" s="271" t="str">
        <f ca="1">IF(CELL("type",'Tropical Sno'!$C23)&lt;&gt;"v","",IF('Tropical Sno'!$B23="TOTAL:","",(IF('Tropical Sno'!$B23="CODE","",IF('Tropical Sno'!$C23&gt;0,'Tropical Sno'!B23,"")))))</f>
        <v/>
      </c>
      <c r="C23" s="271" t="str">
        <f ca="1">IF(CELL("type",'Tropical Sno'!$C23)&lt;&gt;"v","",IF('Tropical Sno'!$B23="TOTAL:","",(IF('Tropical Sno'!$B23="CODE","",IF('Tropical Sno'!$C23&gt;0,'Tropical Sno'!C23,"")))))</f>
        <v/>
      </c>
      <c r="E23" s="271" t="str">
        <f ca="1">IF(CELL("type",'Swan Parts'!$C23)&lt;&gt;"v","",IF('Swan Parts'!$B23="TOTAL:","",(IF('Swan Parts'!$B23="CODE","",IF('Swan Parts'!$C23&gt;0,'Swan Parts'!B23,"")))))</f>
        <v/>
      </c>
      <c r="F23" s="271" t="str">
        <f ca="1">IF(CELL("type",'Swan Parts'!$C23)&lt;&gt;"v","",IF('Swan Parts'!$B23="TOTAL:","",(IF('Swan Parts'!$B23="CODE","",IF('Swan Parts'!$C23&gt;0,'Swan Parts'!C23,"")))))</f>
        <v/>
      </c>
      <c r="H23" s="271" t="str">
        <f ca="1">IF(CELL("type",'Soft Ice'!$C23)&lt;&gt;"v","",IF('Soft Ice'!$B23="TOTAL:","",(IF('Soft Ice'!$B23="CODE","",IF('Soft Ice'!$C23&gt;0,'Soft Ice'!B23,"")))))</f>
        <v/>
      </c>
      <c r="I23" s="271" t="str">
        <f ca="1">IF(CELL("type",'Soft Ice'!$C23)&lt;&gt;"v","",IF('Soft Ice'!$B23="TOTAL:","",(IF('Soft Ice'!$B23="CODE","",IF('Soft Ice'!$C23&gt;0,'Soft Ice'!C23,"")))))</f>
        <v/>
      </c>
    </row>
    <row r="24" spans="2:9">
      <c r="B24" s="271" t="str">
        <f ca="1">IF(CELL("type",'Tropical Sno'!$C24)&lt;&gt;"v","",IF('Tropical Sno'!$B24="TOTAL:","",(IF('Tropical Sno'!$B24="CODE","",IF('Tropical Sno'!$C24&gt;0,'Tropical Sno'!B24,"")))))</f>
        <v/>
      </c>
      <c r="C24" s="271" t="str">
        <f ca="1">IF(CELL("type",'Tropical Sno'!$C24)&lt;&gt;"v","",IF('Tropical Sno'!$B24="TOTAL:","",(IF('Tropical Sno'!$B24="CODE","",IF('Tropical Sno'!$C24&gt;0,'Tropical Sno'!C24,"")))))</f>
        <v/>
      </c>
      <c r="E24" s="271" t="str">
        <f ca="1">IF(CELL("type",'Swan Parts'!$C24)&lt;&gt;"v","",IF('Swan Parts'!$B24="TOTAL:","",(IF('Swan Parts'!$B24="CODE","",IF('Swan Parts'!$C24&gt;0,'Swan Parts'!B24,"")))))</f>
        <v/>
      </c>
      <c r="F24" s="271" t="str">
        <f ca="1">IF(CELL("type",'Swan Parts'!$C24)&lt;&gt;"v","",IF('Swan Parts'!$B24="TOTAL:","",(IF('Swan Parts'!$B24="CODE","",IF('Swan Parts'!$C24&gt;0,'Swan Parts'!C24,"")))))</f>
        <v/>
      </c>
      <c r="H24" s="271" t="str">
        <f ca="1">IF(CELL("type",'Soft Ice'!$C24)&lt;&gt;"v","",IF('Soft Ice'!$B24="TOTAL:","",(IF('Soft Ice'!$B24="CODE","",IF('Soft Ice'!$C24&gt;0,'Soft Ice'!B24,"")))))</f>
        <v/>
      </c>
      <c r="I24" s="271" t="str">
        <f ca="1">IF(CELL("type",'Soft Ice'!$C24)&lt;&gt;"v","",IF('Soft Ice'!$B24="TOTAL:","",(IF('Soft Ice'!$B24="CODE","",IF('Soft Ice'!$C24&gt;0,'Soft Ice'!C24,"")))))</f>
        <v/>
      </c>
    </row>
    <row r="25" spans="2:9">
      <c r="B25" s="271" t="str">
        <f ca="1">IF(CELL("type",'Tropical Sno'!$C25)&lt;&gt;"v","",IF('Tropical Sno'!$B25="TOTAL:","",(IF('Tropical Sno'!$B25="CODE","",IF('Tropical Sno'!$C25&gt;0,'Tropical Sno'!B25,"")))))</f>
        <v/>
      </c>
      <c r="C25" s="271" t="str">
        <f ca="1">IF(CELL("type",'Tropical Sno'!$C25)&lt;&gt;"v","",IF('Tropical Sno'!$B25="TOTAL:","",(IF('Tropical Sno'!$B25="CODE","",IF('Tropical Sno'!$C25&gt;0,'Tropical Sno'!C25,"")))))</f>
        <v/>
      </c>
      <c r="E25" s="271" t="str">
        <f ca="1">IF(CELL("type",'Swan Parts'!$C25)&lt;&gt;"v","",IF('Swan Parts'!$B25="TOTAL:","",(IF('Swan Parts'!$B25="CODE","",IF('Swan Parts'!$C25&gt;0,'Swan Parts'!B25,"")))))</f>
        <v/>
      </c>
      <c r="F25" s="271" t="str">
        <f ca="1">IF(CELL("type",'Swan Parts'!$C25)&lt;&gt;"v","",IF('Swan Parts'!$B25="TOTAL:","",(IF('Swan Parts'!$B25="CODE","",IF('Swan Parts'!$C25&gt;0,'Swan Parts'!C25,"")))))</f>
        <v/>
      </c>
      <c r="H25" s="271" t="str">
        <f ca="1">IF(CELL("type",'Soft Ice'!$C25)&lt;&gt;"v","",IF('Soft Ice'!$B25="TOTAL:","",(IF('Soft Ice'!$B25="CODE","",IF('Soft Ice'!$C25&gt;0,'Soft Ice'!B25,"")))))</f>
        <v/>
      </c>
      <c r="I25" s="271" t="str">
        <f ca="1">IF(CELL("type",'Soft Ice'!$C25)&lt;&gt;"v","",IF('Soft Ice'!$B25="TOTAL:","",(IF('Soft Ice'!$B25="CODE","",IF('Soft Ice'!$C25&gt;0,'Soft Ice'!C25,"")))))</f>
        <v/>
      </c>
    </row>
    <row r="26" spans="2:9">
      <c r="B26" s="271" t="str">
        <f ca="1">IF(CELL("type",'Tropical Sno'!$C26)&lt;&gt;"v","",IF('Tropical Sno'!$B26="TOTAL:","",(IF('Tropical Sno'!$B26="CODE","",IF('Tropical Sno'!$C26&gt;0,'Tropical Sno'!B26,"")))))</f>
        <v/>
      </c>
      <c r="C26" s="271" t="str">
        <f ca="1">IF(CELL("type",'Tropical Sno'!$C26)&lt;&gt;"v","",IF('Tropical Sno'!$B26="TOTAL:","",(IF('Tropical Sno'!$B26="CODE","",IF('Tropical Sno'!$C26&gt;0,'Tropical Sno'!C26,"")))))</f>
        <v/>
      </c>
      <c r="E26" s="271" t="str">
        <f ca="1">IF(CELL("type",'Swan Parts'!$C26)&lt;&gt;"v","",IF('Swan Parts'!$B26="TOTAL:","",(IF('Swan Parts'!$B26="CODE","",IF('Swan Parts'!$C26&gt;0,'Swan Parts'!B26,"")))))</f>
        <v/>
      </c>
      <c r="F26" s="271" t="str">
        <f ca="1">IF(CELL("type",'Swan Parts'!$C26)&lt;&gt;"v","",IF('Swan Parts'!$B26="TOTAL:","",(IF('Swan Parts'!$B26="CODE","",IF('Swan Parts'!$C26&gt;0,'Swan Parts'!C26,"")))))</f>
        <v/>
      </c>
      <c r="H26" s="271" t="str">
        <f ca="1">IF(CELL("type",'Soft Ice'!$C26)&lt;&gt;"v","",IF('Soft Ice'!$B26="TOTAL:","",(IF('Soft Ice'!$B26="CODE","",IF('Soft Ice'!$C26&gt;0,'Soft Ice'!B26,"")))))</f>
        <v/>
      </c>
      <c r="I26" s="271" t="str">
        <f ca="1">IF(CELL("type",'Soft Ice'!$C26)&lt;&gt;"v","",IF('Soft Ice'!$B26="TOTAL:","",(IF('Soft Ice'!$B26="CODE","",IF('Soft Ice'!$C26&gt;0,'Soft Ice'!C26,"")))))</f>
        <v/>
      </c>
    </row>
    <row r="27" spans="2:9">
      <c r="B27" s="271" t="str">
        <f ca="1">IF(CELL("type",'Tropical Sno'!$C27)&lt;&gt;"v","",IF('Tropical Sno'!$B27="TOTAL:","",(IF('Tropical Sno'!$B27="CODE","",IF('Tropical Sno'!$C27&gt;0,'Tropical Sno'!B27,"")))))</f>
        <v/>
      </c>
      <c r="C27" s="271" t="str">
        <f ca="1">IF(CELL("type",'Tropical Sno'!$C27)&lt;&gt;"v","",IF('Tropical Sno'!$B27="TOTAL:","",(IF('Tropical Sno'!$B27="CODE","",IF('Tropical Sno'!$C27&gt;0,'Tropical Sno'!C27,"")))))</f>
        <v/>
      </c>
      <c r="E27" s="271" t="str">
        <f ca="1">IF(CELL("type",'Swan Parts'!$C27)&lt;&gt;"v","",IF('Swan Parts'!$B27="TOTAL:","",(IF('Swan Parts'!$B27="CODE","",IF('Swan Parts'!$C27&gt;0,'Swan Parts'!B27,"")))))</f>
        <v/>
      </c>
      <c r="F27" s="271" t="str">
        <f ca="1">IF(CELL("type",'Swan Parts'!$C27)&lt;&gt;"v","",IF('Swan Parts'!$B27="TOTAL:","",(IF('Swan Parts'!$B27="CODE","",IF('Swan Parts'!$C27&gt;0,'Swan Parts'!C27,"")))))</f>
        <v/>
      </c>
      <c r="H27" s="271" t="str">
        <f ca="1">IF(CELL("type",'Soft Ice'!$C27)&lt;&gt;"v","",IF('Soft Ice'!$B27="TOTAL:","",(IF('Soft Ice'!$B27="CODE","",IF('Soft Ice'!$C27&gt;0,'Soft Ice'!B27,"")))))</f>
        <v/>
      </c>
      <c r="I27" s="271" t="str">
        <f ca="1">IF(CELL("type",'Soft Ice'!$C27)&lt;&gt;"v","",IF('Soft Ice'!$B27="TOTAL:","",(IF('Soft Ice'!$B27="CODE","",IF('Soft Ice'!$C27&gt;0,'Soft Ice'!C27,"")))))</f>
        <v/>
      </c>
    </row>
    <row r="28" spans="2:9">
      <c r="B28" s="271" t="str">
        <f ca="1">IF(CELL("type",'Tropical Sno'!$C28)&lt;&gt;"v","",IF('Tropical Sno'!$B28="TOTAL:","",(IF('Tropical Sno'!$B28="CODE","",IF('Tropical Sno'!$C28&gt;0,'Tropical Sno'!B28,"")))))</f>
        <v/>
      </c>
      <c r="C28" s="271" t="str">
        <f ca="1">IF(CELL("type",'Tropical Sno'!$C28)&lt;&gt;"v","",IF('Tropical Sno'!$B28="TOTAL:","",(IF('Tropical Sno'!$B28="CODE","",IF('Tropical Sno'!$C28&gt;0,'Tropical Sno'!C28,"")))))</f>
        <v/>
      </c>
      <c r="E28" s="271" t="str">
        <f ca="1">IF(CELL("type",'Swan Parts'!$C28)&lt;&gt;"v","",IF('Swan Parts'!$B28="TOTAL:","",(IF('Swan Parts'!$B28="CODE","",IF('Swan Parts'!$C28&gt;0,'Swan Parts'!B28,"")))))</f>
        <v/>
      </c>
      <c r="F28" s="271" t="str">
        <f ca="1">IF(CELL("type",'Swan Parts'!$C28)&lt;&gt;"v","",IF('Swan Parts'!$B28="TOTAL:","",(IF('Swan Parts'!$B28="CODE","",IF('Swan Parts'!$C28&gt;0,'Swan Parts'!C28,"")))))</f>
        <v/>
      </c>
      <c r="H28" s="271" t="str">
        <f ca="1">IF(CELL("type",'Soft Ice'!$C28)&lt;&gt;"v","",IF('Soft Ice'!$B28="TOTAL:","",(IF('Soft Ice'!$B28="CODE","",IF('Soft Ice'!$C28&gt;0,'Soft Ice'!B28,"")))))</f>
        <v/>
      </c>
      <c r="I28" s="271" t="str">
        <f ca="1">IF(CELL("type",'Soft Ice'!$C28)&lt;&gt;"v","",IF('Soft Ice'!$B28="TOTAL:","",(IF('Soft Ice'!$B28="CODE","",IF('Soft Ice'!$C28&gt;0,'Soft Ice'!C28,"")))))</f>
        <v/>
      </c>
    </row>
    <row r="29" spans="2:9">
      <c r="B29" s="271" t="str">
        <f ca="1">IF(CELL("type",'Tropical Sno'!$C29)&lt;&gt;"v","",IF('Tropical Sno'!$B29="TOTAL:","",(IF('Tropical Sno'!$B29="CODE","",IF('Tropical Sno'!$C29&gt;0,'Tropical Sno'!B29,"")))))</f>
        <v/>
      </c>
      <c r="C29" s="271" t="str">
        <f ca="1">IF(CELL("type",'Tropical Sno'!$C29)&lt;&gt;"v","",IF('Tropical Sno'!$B29="TOTAL:","",(IF('Tropical Sno'!$B29="CODE","",IF('Tropical Sno'!$C29&gt;0,'Tropical Sno'!C29,"")))))</f>
        <v/>
      </c>
      <c r="E29" s="271" t="str">
        <f ca="1">IF(CELL("type",'Swan Parts'!$C29)&lt;&gt;"v","",IF('Swan Parts'!$B29="TOTAL:","",(IF('Swan Parts'!$B29="CODE","",IF('Swan Parts'!$C29&gt;0,'Swan Parts'!B29,"")))))</f>
        <v/>
      </c>
      <c r="F29" s="271" t="str">
        <f ca="1">IF(CELL("type",'Swan Parts'!$C29)&lt;&gt;"v","",IF('Swan Parts'!$B29="TOTAL:","",(IF('Swan Parts'!$B29="CODE","",IF('Swan Parts'!$C29&gt;0,'Swan Parts'!C29,"")))))</f>
        <v/>
      </c>
      <c r="H29" s="271" t="str">
        <f ca="1">IF(CELL("type",'Soft Ice'!$C29)&lt;&gt;"v","",IF('Soft Ice'!$B29="TOTAL:","",(IF('Soft Ice'!$B29="CODE","",IF('Soft Ice'!$C29&gt;0,'Soft Ice'!B29,"")))))</f>
        <v/>
      </c>
      <c r="I29" s="271" t="str">
        <f ca="1">IF(CELL("type",'Soft Ice'!$C29)&lt;&gt;"v","",IF('Soft Ice'!$B29="TOTAL:","",(IF('Soft Ice'!$B29="CODE","",IF('Soft Ice'!$C29&gt;0,'Soft Ice'!C29,"")))))</f>
        <v/>
      </c>
    </row>
    <row r="30" spans="2:9">
      <c r="B30" s="271" t="str">
        <f ca="1">IF(CELL("type",'Tropical Sno'!$C30)&lt;&gt;"v","",IF('Tropical Sno'!$B30="TOTAL:","",(IF('Tropical Sno'!$B30="CODE","",IF('Tropical Sno'!$C30&gt;0,'Tropical Sno'!B30,"")))))</f>
        <v/>
      </c>
      <c r="C30" s="271" t="str">
        <f ca="1">IF(CELL("type",'Tropical Sno'!$C30)&lt;&gt;"v","",IF('Tropical Sno'!$B30="TOTAL:","",(IF('Tropical Sno'!$B30="CODE","",IF('Tropical Sno'!$C30&gt;0,'Tropical Sno'!C30,"")))))</f>
        <v/>
      </c>
      <c r="E30" s="271" t="str">
        <f ca="1">IF(CELL("type",'Swan Parts'!$C30)&lt;&gt;"v","",IF('Swan Parts'!$B30="TOTAL:","",(IF('Swan Parts'!$B30="CODE","",IF('Swan Parts'!$C30&gt;0,'Swan Parts'!B30,"")))))</f>
        <v/>
      </c>
      <c r="F30" s="271" t="str">
        <f ca="1">IF(CELL("type",'Swan Parts'!$C30)&lt;&gt;"v","",IF('Swan Parts'!$B30="TOTAL:","",(IF('Swan Parts'!$B30="CODE","",IF('Swan Parts'!$C30&gt;0,'Swan Parts'!C30,"")))))</f>
        <v/>
      </c>
      <c r="H30" s="271" t="str">
        <f ca="1">IF(CELL("type",'Soft Ice'!$C30)&lt;&gt;"v","",IF('Soft Ice'!$B30="TOTAL:","",(IF('Soft Ice'!$B30="CODE","",IF('Soft Ice'!$C30&gt;0,'Soft Ice'!B30,"")))))</f>
        <v/>
      </c>
      <c r="I30" s="271" t="str">
        <f ca="1">IF(CELL("type",'Soft Ice'!$C30)&lt;&gt;"v","",IF('Soft Ice'!$B30="TOTAL:","",(IF('Soft Ice'!$B30="CODE","",IF('Soft Ice'!$C30&gt;0,'Soft Ice'!C30,"")))))</f>
        <v/>
      </c>
    </row>
    <row r="31" spans="2:9">
      <c r="B31" s="271" t="str">
        <f ca="1">IF(CELL("type",'Tropical Sno'!$C31)&lt;&gt;"v","",IF('Tropical Sno'!$B31="TOTAL:","",(IF('Tropical Sno'!$B31="CODE","",IF('Tropical Sno'!$C31&gt;0,'Tropical Sno'!B31,"")))))</f>
        <v/>
      </c>
      <c r="C31" s="271" t="str">
        <f ca="1">IF(CELL("type",'Tropical Sno'!$C31)&lt;&gt;"v","",IF('Tropical Sno'!$B31="TOTAL:","",(IF('Tropical Sno'!$B31="CODE","",IF('Tropical Sno'!$C31&gt;0,'Tropical Sno'!C31,"")))))</f>
        <v/>
      </c>
      <c r="E31" s="271" t="str">
        <f ca="1">IF(CELL("type",'Swan Parts'!$C31)&lt;&gt;"v","",IF('Swan Parts'!$B31="TOTAL:","",(IF('Swan Parts'!$B31="CODE","",IF('Swan Parts'!$C31&gt;0,'Swan Parts'!B31,"")))))</f>
        <v/>
      </c>
      <c r="F31" s="271" t="str">
        <f ca="1">IF(CELL("type",'Swan Parts'!$C31)&lt;&gt;"v","",IF('Swan Parts'!$B31="TOTAL:","",(IF('Swan Parts'!$B31="CODE","",IF('Swan Parts'!$C31&gt;0,'Swan Parts'!C31,"")))))</f>
        <v/>
      </c>
      <c r="H31" s="271" t="str">
        <f ca="1">IF(CELL("type",'Soft Ice'!$C31)&lt;&gt;"v","",IF('Soft Ice'!$B31="TOTAL:","",(IF('Soft Ice'!$B31="CODE","",IF('Soft Ice'!$C31&gt;0,'Soft Ice'!B31,"")))))</f>
        <v/>
      </c>
      <c r="I31" s="271" t="str">
        <f ca="1">IF(CELL("type",'Soft Ice'!$C31)&lt;&gt;"v","",IF('Soft Ice'!$B31="TOTAL:","",(IF('Soft Ice'!$B31="CODE","",IF('Soft Ice'!$C31&gt;0,'Soft Ice'!C31,"")))))</f>
        <v/>
      </c>
    </row>
    <row r="32" spans="2:9">
      <c r="B32" s="271" t="str">
        <f ca="1">IF(CELL("type",'Tropical Sno'!$C32)&lt;&gt;"v","",IF('Tropical Sno'!$B32="TOTAL:","",(IF('Tropical Sno'!$B32="CODE","",IF('Tropical Sno'!$C32&gt;0,'Tropical Sno'!B32,"")))))</f>
        <v/>
      </c>
      <c r="C32" s="271" t="str">
        <f ca="1">IF(CELL("type",'Tropical Sno'!$C32)&lt;&gt;"v","",IF('Tropical Sno'!$B32="TOTAL:","",(IF('Tropical Sno'!$B32="CODE","",IF('Tropical Sno'!$C32&gt;0,'Tropical Sno'!C32,"")))))</f>
        <v/>
      </c>
      <c r="E32" s="271" t="str">
        <f ca="1">IF(CELL("type",'Swan Parts'!$C32)&lt;&gt;"v","",IF('Swan Parts'!$B32="TOTAL:","",(IF('Swan Parts'!$B32="CODE","",IF('Swan Parts'!$C32&gt;0,'Swan Parts'!B32,"")))))</f>
        <v/>
      </c>
      <c r="F32" s="271" t="str">
        <f ca="1">IF(CELL("type",'Swan Parts'!$C32)&lt;&gt;"v","",IF('Swan Parts'!$B32="TOTAL:","",(IF('Swan Parts'!$B32="CODE","",IF('Swan Parts'!$C32&gt;0,'Swan Parts'!C32,"")))))</f>
        <v/>
      </c>
      <c r="H32" s="271" t="str">
        <f ca="1">IF(CELL("type",'Soft Ice'!$C32)&lt;&gt;"v","",IF('Soft Ice'!$B32="TOTAL:","",(IF('Soft Ice'!$B32="CODE","",IF('Soft Ice'!$C32&gt;0,'Soft Ice'!B32,"")))))</f>
        <v/>
      </c>
      <c r="I32" s="271" t="str">
        <f ca="1">IF(CELL("type",'Soft Ice'!$C32)&lt;&gt;"v","",IF('Soft Ice'!$B32="TOTAL:","",(IF('Soft Ice'!$B32="CODE","",IF('Soft Ice'!$C32&gt;0,'Soft Ice'!C32,"")))))</f>
        <v/>
      </c>
    </row>
    <row r="33" spans="2:9">
      <c r="B33" s="271" t="str">
        <f ca="1">IF(CELL("type",'Tropical Sno'!$C33)&lt;&gt;"v","",IF('Tropical Sno'!$B33="TOTAL:","",(IF('Tropical Sno'!$B33="CODE","",IF('Tropical Sno'!$C33&gt;0,'Tropical Sno'!B33,"")))))</f>
        <v/>
      </c>
      <c r="C33" s="271" t="str">
        <f ca="1">IF(CELL("type",'Tropical Sno'!$C33)&lt;&gt;"v","",IF('Tropical Sno'!$B33="TOTAL:","",(IF('Tropical Sno'!$B33="CODE","",IF('Tropical Sno'!$C33&gt;0,'Tropical Sno'!C33,"")))))</f>
        <v/>
      </c>
      <c r="E33" s="271" t="str">
        <f ca="1">IF(CELL("type",'Swan Parts'!$C33)&lt;&gt;"v","",IF('Swan Parts'!$B33="TOTAL:","",(IF('Swan Parts'!$B33="CODE","",IF('Swan Parts'!$C33&gt;0,'Swan Parts'!B33,"")))))</f>
        <v/>
      </c>
      <c r="F33" s="271" t="str">
        <f ca="1">IF(CELL("type",'Swan Parts'!$C33)&lt;&gt;"v","",IF('Swan Parts'!$B33="TOTAL:","",(IF('Swan Parts'!$B33="CODE","",IF('Swan Parts'!$C33&gt;0,'Swan Parts'!C33,"")))))</f>
        <v/>
      </c>
      <c r="H33" s="271" t="str">
        <f ca="1">IF(CELL("type",'Soft Ice'!$C33)&lt;&gt;"v","",IF('Soft Ice'!$B33="TOTAL:","",(IF('Soft Ice'!$B33="CODE","",IF('Soft Ice'!$C33&gt;0,'Soft Ice'!B33,"")))))</f>
        <v/>
      </c>
      <c r="I33" s="271" t="str">
        <f ca="1">IF(CELL("type",'Soft Ice'!$C33)&lt;&gt;"v","",IF('Soft Ice'!$B33="TOTAL:","",(IF('Soft Ice'!$B33="CODE","",IF('Soft Ice'!$C33&gt;0,'Soft Ice'!C33,"")))))</f>
        <v/>
      </c>
    </row>
    <row r="34" spans="2:9">
      <c r="B34" s="271" t="str">
        <f ca="1">IF(CELL("type",'Tropical Sno'!$C34)&lt;&gt;"v","",IF('Tropical Sno'!$B34="TOTAL:","",(IF('Tropical Sno'!$B34="CODE","",IF('Tropical Sno'!$C34&gt;0,'Tropical Sno'!B34,"")))))</f>
        <v/>
      </c>
      <c r="C34" s="271" t="str">
        <f ca="1">IF(CELL("type",'Tropical Sno'!$C34)&lt;&gt;"v","",IF('Tropical Sno'!$B34="TOTAL:","",(IF('Tropical Sno'!$B34="CODE","",IF('Tropical Sno'!$C34&gt;0,'Tropical Sno'!C34,"")))))</f>
        <v/>
      </c>
      <c r="E34" s="271" t="str">
        <f ca="1">IF(CELL("type",'Swan Parts'!$C34)&lt;&gt;"v","",IF('Swan Parts'!$B34="TOTAL:","",(IF('Swan Parts'!$B34="CODE","",IF('Swan Parts'!$C34&gt;0,'Swan Parts'!B34,"")))))</f>
        <v/>
      </c>
      <c r="F34" s="271" t="str">
        <f ca="1">IF(CELL("type",'Swan Parts'!$C34)&lt;&gt;"v","",IF('Swan Parts'!$B34="TOTAL:","",(IF('Swan Parts'!$B34="CODE","",IF('Swan Parts'!$C34&gt;0,'Swan Parts'!C34,"")))))</f>
        <v/>
      </c>
      <c r="H34" s="271" t="str">
        <f ca="1">IF(CELL("type",'Soft Ice'!$C34)&lt;&gt;"v","",IF('Soft Ice'!$B34="TOTAL:","",(IF('Soft Ice'!$B34="CODE","",IF('Soft Ice'!$C34&gt;0,'Soft Ice'!B34,"")))))</f>
        <v/>
      </c>
      <c r="I34" s="271" t="str">
        <f ca="1">IF(CELL("type",'Soft Ice'!$C34)&lt;&gt;"v","",IF('Soft Ice'!$B34="TOTAL:","",(IF('Soft Ice'!$B34="CODE","",IF('Soft Ice'!$C34&gt;0,'Soft Ice'!C34,"")))))</f>
        <v/>
      </c>
    </row>
    <row r="35" spans="2:9">
      <c r="B35" s="271" t="str">
        <f ca="1">IF(CELL("type",'Tropical Sno'!$C35)&lt;&gt;"v","",IF('Tropical Sno'!$B35="TOTAL:","",(IF('Tropical Sno'!$B35="CODE","",IF('Tropical Sno'!$C35&gt;0,'Tropical Sno'!B35,"")))))</f>
        <v/>
      </c>
      <c r="C35" s="271" t="str">
        <f ca="1">IF(CELL("type",'Tropical Sno'!$C35)&lt;&gt;"v","",IF('Tropical Sno'!$B35="TOTAL:","",(IF('Tropical Sno'!$B35="CODE","",IF('Tropical Sno'!$C35&gt;0,'Tropical Sno'!C35,"")))))</f>
        <v/>
      </c>
      <c r="E35" s="271" t="str">
        <f ca="1">IF(CELL("type",'Swan Parts'!$C35)&lt;&gt;"v","",IF('Swan Parts'!$B35="TOTAL:","",(IF('Swan Parts'!$B35="CODE","",IF('Swan Parts'!$C35&gt;0,'Swan Parts'!B35,"")))))</f>
        <v/>
      </c>
      <c r="F35" s="271" t="str">
        <f ca="1">IF(CELL("type",'Swan Parts'!$C35)&lt;&gt;"v","",IF('Swan Parts'!$B35="TOTAL:","",(IF('Swan Parts'!$B35="CODE","",IF('Swan Parts'!$C35&gt;0,'Swan Parts'!C35,"")))))</f>
        <v/>
      </c>
      <c r="H35" s="271" t="str">
        <f ca="1">IF(CELL("type",'Soft Ice'!$C35)&lt;&gt;"v","",IF('Soft Ice'!$B35="TOTAL:","",(IF('Soft Ice'!$B35="CODE","",IF('Soft Ice'!$C35&gt;0,'Soft Ice'!B35,"")))))</f>
        <v/>
      </c>
      <c r="I35" s="271" t="str">
        <f ca="1">IF(CELL("type",'Soft Ice'!$C35)&lt;&gt;"v","",IF('Soft Ice'!$B35="TOTAL:","",(IF('Soft Ice'!$B35="CODE","",IF('Soft Ice'!$C35&gt;0,'Soft Ice'!C35,"")))))</f>
        <v/>
      </c>
    </row>
    <row r="36" spans="2:9">
      <c r="B36" s="271" t="str">
        <f ca="1">IF(CELL("type",'Tropical Sno'!$C36)&lt;&gt;"v","",IF('Tropical Sno'!$B36="TOTAL:","",(IF('Tropical Sno'!$B36="CODE","",IF('Tropical Sno'!$C36&gt;0,'Tropical Sno'!B36,"")))))</f>
        <v/>
      </c>
      <c r="C36" s="271" t="str">
        <f ca="1">IF(CELL("type",'Tropical Sno'!$C36)&lt;&gt;"v","",IF('Tropical Sno'!$B36="TOTAL:","",(IF('Tropical Sno'!$B36="CODE","",IF('Tropical Sno'!$C36&gt;0,'Tropical Sno'!C36,"")))))</f>
        <v/>
      </c>
      <c r="E36" s="271" t="str">
        <f ca="1">IF(CELL("type",'Swan Parts'!$C36)&lt;&gt;"v","",IF('Swan Parts'!$B36="TOTAL:","",(IF('Swan Parts'!$B36="CODE","",IF('Swan Parts'!$C36&gt;0,'Swan Parts'!B36,"")))))</f>
        <v/>
      </c>
      <c r="F36" s="271" t="str">
        <f ca="1">IF(CELL("type",'Swan Parts'!$C36)&lt;&gt;"v","",IF('Swan Parts'!$B36="TOTAL:","",(IF('Swan Parts'!$B36="CODE","",IF('Swan Parts'!$C36&gt;0,'Swan Parts'!C36,"")))))</f>
        <v/>
      </c>
      <c r="H36" s="271" t="str">
        <f ca="1">IF(CELL("type",'Soft Ice'!$C36)&lt;&gt;"v","",IF('Soft Ice'!$B36="TOTAL:","",(IF('Soft Ice'!$B36="CODE","",IF('Soft Ice'!$C36&gt;0,'Soft Ice'!B36,"")))))</f>
        <v/>
      </c>
      <c r="I36" s="271" t="str">
        <f ca="1">IF(CELL("type",'Soft Ice'!$C36)&lt;&gt;"v","",IF('Soft Ice'!$B36="TOTAL:","",(IF('Soft Ice'!$B36="CODE","",IF('Soft Ice'!$C36&gt;0,'Soft Ice'!C36,"")))))</f>
        <v/>
      </c>
    </row>
    <row r="37" spans="2:9">
      <c r="B37" s="271" t="str">
        <f ca="1">IF(CELL("type",'Tropical Sno'!$C37)&lt;&gt;"v","",IF('Tropical Sno'!$B37="TOTAL:","",(IF('Tropical Sno'!$B37="CODE","",IF('Tropical Sno'!$C37&gt;0,'Tropical Sno'!B37,"")))))</f>
        <v/>
      </c>
      <c r="C37" s="271" t="str">
        <f ca="1">IF(CELL("type",'Tropical Sno'!$C37)&lt;&gt;"v","",IF('Tropical Sno'!$B37="TOTAL:","",(IF('Tropical Sno'!$B37="CODE","",IF('Tropical Sno'!$C37&gt;0,'Tropical Sno'!C37,"")))))</f>
        <v/>
      </c>
      <c r="E37" s="271" t="str">
        <f ca="1">IF(CELL("type",'Swan Parts'!$C37)&lt;&gt;"v","",IF('Swan Parts'!$B37="TOTAL:","",(IF('Swan Parts'!$B37="CODE","",IF('Swan Parts'!$C37&gt;0,'Swan Parts'!B37,"")))))</f>
        <v/>
      </c>
      <c r="F37" s="271" t="str">
        <f ca="1">IF(CELL("type",'Swan Parts'!$C37)&lt;&gt;"v","",IF('Swan Parts'!$B37="TOTAL:","",(IF('Swan Parts'!$B37="CODE","",IF('Swan Parts'!$C37&gt;0,'Swan Parts'!C37,"")))))</f>
        <v/>
      </c>
      <c r="H37" s="271" t="str">
        <f ca="1">IF(CELL("type",'Soft Ice'!$C37)&lt;&gt;"v","",IF('Soft Ice'!$B37="TOTAL:","",(IF('Soft Ice'!$B37="CODE","",IF('Soft Ice'!$C37&gt;0,'Soft Ice'!B37,"")))))</f>
        <v/>
      </c>
      <c r="I37" s="271" t="str">
        <f ca="1">IF(CELL("type",'Soft Ice'!$C37)&lt;&gt;"v","",IF('Soft Ice'!$B37="TOTAL:","",(IF('Soft Ice'!$B37="CODE","",IF('Soft Ice'!$C37&gt;0,'Soft Ice'!C37,"")))))</f>
        <v/>
      </c>
    </row>
    <row r="38" spans="2:9">
      <c r="B38" s="271" t="str">
        <f ca="1">IF(CELL("type",'Tropical Sno'!$C38)&lt;&gt;"v","",IF('Tropical Sno'!$B38="TOTAL:","",(IF('Tropical Sno'!$B38="CODE","",IF('Tropical Sno'!$C38&gt;0,'Tropical Sno'!B38,"")))))</f>
        <v/>
      </c>
      <c r="C38" s="271" t="str">
        <f ca="1">IF(CELL("type",'Tropical Sno'!$C38)&lt;&gt;"v","",IF('Tropical Sno'!$B38="TOTAL:","",(IF('Tropical Sno'!$B38="CODE","",IF('Tropical Sno'!$C38&gt;0,'Tropical Sno'!C38,"")))))</f>
        <v/>
      </c>
      <c r="E38" s="271" t="str">
        <f ca="1">IF(CELL("type",'Swan Parts'!$C38)&lt;&gt;"v","",IF('Swan Parts'!$B38="TOTAL:","",(IF('Swan Parts'!$B38="CODE","",IF('Swan Parts'!$C38&gt;0,'Swan Parts'!B38,"")))))</f>
        <v/>
      </c>
      <c r="F38" s="271" t="str">
        <f ca="1">IF(CELL("type",'Swan Parts'!$C38)&lt;&gt;"v","",IF('Swan Parts'!$B38="TOTAL:","",(IF('Swan Parts'!$B38="CODE","",IF('Swan Parts'!$C38&gt;0,'Swan Parts'!C38,"")))))</f>
        <v/>
      </c>
      <c r="H38" s="271" t="str">
        <f ca="1">IF(CELL("type",'Soft Ice'!$C38)&lt;&gt;"v","",IF('Soft Ice'!$B38="TOTAL:","",(IF('Soft Ice'!$B38="CODE","",IF('Soft Ice'!$C38&gt;0,'Soft Ice'!B38,"")))))</f>
        <v/>
      </c>
      <c r="I38" s="271" t="str">
        <f ca="1">IF(CELL("type",'Soft Ice'!$C38)&lt;&gt;"v","",IF('Soft Ice'!$B38="TOTAL:","",(IF('Soft Ice'!$B38="CODE","",IF('Soft Ice'!$C38&gt;0,'Soft Ice'!C38,"")))))</f>
        <v/>
      </c>
    </row>
    <row r="39" spans="2:9">
      <c r="B39" s="271" t="str">
        <f ca="1">IF(CELL("type",'Tropical Sno'!$C39)&lt;&gt;"v","",IF('Tropical Sno'!$B39="TOTAL:","",(IF('Tropical Sno'!$B39="CODE","",IF('Tropical Sno'!$C39&gt;0,'Tropical Sno'!B39,"")))))</f>
        <v/>
      </c>
      <c r="C39" s="271" t="str">
        <f ca="1">IF(CELL("type",'Tropical Sno'!$C39)&lt;&gt;"v","",IF('Tropical Sno'!$B39="TOTAL:","",(IF('Tropical Sno'!$B39="CODE","",IF('Tropical Sno'!$C39&gt;0,'Tropical Sno'!C39,"")))))</f>
        <v/>
      </c>
      <c r="E39" s="271" t="str">
        <f ca="1">IF(CELL("type",'Swan Parts'!$C39)&lt;&gt;"v","",IF('Swan Parts'!$B39="TOTAL:","",(IF('Swan Parts'!$B39="CODE","",IF('Swan Parts'!$C39&gt;0,'Swan Parts'!B39,"")))))</f>
        <v/>
      </c>
      <c r="F39" s="271" t="str">
        <f ca="1">IF(CELL("type",'Swan Parts'!$C39)&lt;&gt;"v","",IF('Swan Parts'!$B39="TOTAL:","",(IF('Swan Parts'!$B39="CODE","",IF('Swan Parts'!$C39&gt;0,'Swan Parts'!C39,"")))))</f>
        <v/>
      </c>
      <c r="H39" s="271" t="str">
        <f ca="1">IF(CELL("type",'Soft Ice'!$C39)&lt;&gt;"v","",IF('Soft Ice'!$B39="TOTAL:","",(IF('Soft Ice'!$B39="CODE","",IF('Soft Ice'!$C39&gt;0,'Soft Ice'!B39,"")))))</f>
        <v/>
      </c>
      <c r="I39" s="271" t="str">
        <f ca="1">IF(CELL("type",'Soft Ice'!$C39)&lt;&gt;"v","",IF('Soft Ice'!$B39="TOTAL:","",(IF('Soft Ice'!$B39="CODE","",IF('Soft Ice'!$C39&gt;0,'Soft Ice'!C39,"")))))</f>
        <v/>
      </c>
    </row>
    <row r="40" spans="2:9">
      <c r="B40" s="271" t="str">
        <f ca="1">IF(CELL("type",'Tropical Sno'!$C40)&lt;&gt;"v","",IF('Tropical Sno'!$B40="TOTAL:","",(IF('Tropical Sno'!$B40="CODE","",IF('Tropical Sno'!$C40&gt;0,'Tropical Sno'!B40,"")))))</f>
        <v/>
      </c>
      <c r="C40" s="271" t="str">
        <f ca="1">IF(CELL("type",'Tropical Sno'!$C40)&lt;&gt;"v","",IF('Tropical Sno'!$B40="TOTAL:","",(IF('Tropical Sno'!$B40="CODE","",IF('Tropical Sno'!$C40&gt;0,'Tropical Sno'!C40,"")))))</f>
        <v/>
      </c>
      <c r="E40" s="271" t="str">
        <f ca="1">IF(CELL("type",'Swan Parts'!$C40)&lt;&gt;"v","",IF('Swan Parts'!$B40="TOTAL:","",(IF('Swan Parts'!$B40="CODE","",IF('Swan Parts'!$C40&gt;0,'Swan Parts'!B40,"")))))</f>
        <v/>
      </c>
      <c r="F40" s="271" t="str">
        <f ca="1">IF(CELL("type",'Swan Parts'!$C40)&lt;&gt;"v","",IF('Swan Parts'!$B40="TOTAL:","",(IF('Swan Parts'!$B40="CODE","",IF('Swan Parts'!$C40&gt;0,'Swan Parts'!C40,"")))))</f>
        <v/>
      </c>
      <c r="H40" s="271" t="str">
        <f ca="1">IF(CELL("type",'Soft Ice'!$C40)&lt;&gt;"v","",IF('Soft Ice'!$B40="TOTAL:","",(IF('Soft Ice'!$B40="CODE","",IF('Soft Ice'!$C40&gt;0,'Soft Ice'!B40,"")))))</f>
        <v/>
      </c>
      <c r="I40" s="271" t="str">
        <f ca="1">IF(CELL("type",'Soft Ice'!$C40)&lt;&gt;"v","",IF('Soft Ice'!$B40="TOTAL:","",(IF('Soft Ice'!$B40="CODE","",IF('Soft Ice'!$C40&gt;0,'Soft Ice'!C40,"")))))</f>
        <v/>
      </c>
    </row>
    <row r="41" spans="2:9">
      <c r="B41" s="271" t="str">
        <f ca="1">IF(CELL("type",'Tropical Sno'!$C41)&lt;&gt;"v","",IF('Tropical Sno'!$B41="TOTAL:","",(IF('Tropical Sno'!$B41="CODE","",IF('Tropical Sno'!$C41&gt;0,'Tropical Sno'!B41,"")))))</f>
        <v/>
      </c>
      <c r="C41" s="271" t="str">
        <f ca="1">IF(CELL("type",'Tropical Sno'!$C41)&lt;&gt;"v","",IF('Tropical Sno'!$B41="TOTAL:","",(IF('Tropical Sno'!$B41="CODE","",IF('Tropical Sno'!$C41&gt;0,'Tropical Sno'!C41,"")))))</f>
        <v/>
      </c>
      <c r="E41" s="271" t="str">
        <f ca="1">IF(CELL("type",'Swan Parts'!$C41)&lt;&gt;"v","",IF('Swan Parts'!$B41="TOTAL:","",(IF('Swan Parts'!$B41="CODE","",IF('Swan Parts'!$C41&gt;0,'Swan Parts'!B41,"")))))</f>
        <v/>
      </c>
      <c r="F41" s="271" t="str">
        <f ca="1">IF(CELL("type",'Swan Parts'!$C41)&lt;&gt;"v","",IF('Swan Parts'!$B41="TOTAL:","",(IF('Swan Parts'!$B41="CODE","",IF('Swan Parts'!$C41&gt;0,'Swan Parts'!C41,"")))))</f>
        <v/>
      </c>
      <c r="H41" s="271" t="str">
        <f ca="1">IF(CELL("type",'Soft Ice'!$C41)&lt;&gt;"v","",IF('Soft Ice'!$B41="TOTAL:","",(IF('Soft Ice'!$B41="CODE","",IF('Soft Ice'!$C41&gt;0,'Soft Ice'!B41,"")))))</f>
        <v/>
      </c>
      <c r="I41" s="271" t="str">
        <f ca="1">IF(CELL("type",'Soft Ice'!$C41)&lt;&gt;"v","",IF('Soft Ice'!$B41="TOTAL:","",(IF('Soft Ice'!$B41="CODE","",IF('Soft Ice'!$C41&gt;0,'Soft Ice'!C41,"")))))</f>
        <v/>
      </c>
    </row>
    <row r="42" spans="2:9">
      <c r="B42" s="271" t="str">
        <f ca="1">IF(CELL("type",'Tropical Sno'!$C42)&lt;&gt;"v","",IF('Tropical Sno'!$B42="TOTAL:","",(IF('Tropical Sno'!$B42="CODE","",IF('Tropical Sno'!$C42&gt;0,'Tropical Sno'!B42,"")))))</f>
        <v/>
      </c>
      <c r="C42" s="271" t="str">
        <f ca="1">IF(CELL("type",'Tropical Sno'!$C42)&lt;&gt;"v","",IF('Tropical Sno'!$B42="TOTAL:","",(IF('Tropical Sno'!$B42="CODE","",IF('Tropical Sno'!$C42&gt;0,'Tropical Sno'!C42,"")))))</f>
        <v/>
      </c>
      <c r="E42" s="271" t="str">
        <f ca="1">IF(CELL("type",'Swan Parts'!$C42)&lt;&gt;"v","",IF('Swan Parts'!$B42="TOTAL:","",(IF('Swan Parts'!$B42="CODE","",IF('Swan Parts'!$C42&gt;0,'Swan Parts'!B42,"")))))</f>
        <v/>
      </c>
      <c r="F42" s="271" t="str">
        <f ca="1">IF(CELL("type",'Swan Parts'!$C42)&lt;&gt;"v","",IF('Swan Parts'!$B42="TOTAL:","",(IF('Swan Parts'!$B42="CODE","",IF('Swan Parts'!$C42&gt;0,'Swan Parts'!C42,"")))))</f>
        <v/>
      </c>
      <c r="H42" s="271" t="str">
        <f ca="1">IF(CELL("type",'Soft Ice'!$C42)&lt;&gt;"v","",IF('Soft Ice'!$B42="TOTAL:","",(IF('Soft Ice'!$B42="CODE","",IF('Soft Ice'!$C42&gt;0,'Soft Ice'!B42,"")))))</f>
        <v/>
      </c>
      <c r="I42" s="271" t="str">
        <f ca="1">IF(CELL("type",'Soft Ice'!$C42)&lt;&gt;"v","",IF('Soft Ice'!$B42="TOTAL:","",(IF('Soft Ice'!$B42="CODE","",IF('Soft Ice'!$C42&gt;0,'Soft Ice'!C42,"")))))</f>
        <v/>
      </c>
    </row>
    <row r="43" spans="2:9">
      <c r="B43" s="271" t="str">
        <f ca="1">IF(CELL("type",'Tropical Sno'!$C43)&lt;&gt;"v","",IF('Tropical Sno'!$B43="TOTAL:","",(IF('Tropical Sno'!$B43="CODE","",IF('Tropical Sno'!$C43&gt;0,'Tropical Sno'!B43,"")))))</f>
        <v/>
      </c>
      <c r="C43" s="271" t="str">
        <f ca="1">IF(CELL("type",'Tropical Sno'!$C43)&lt;&gt;"v","",IF('Tropical Sno'!$B43="TOTAL:","",(IF('Tropical Sno'!$B43="CODE","",IF('Tropical Sno'!$C43&gt;0,'Tropical Sno'!C43,"")))))</f>
        <v/>
      </c>
      <c r="E43" s="271" t="str">
        <f ca="1">IF(CELL("type",'Swan Parts'!$C43)&lt;&gt;"v","",IF('Swan Parts'!$B43="TOTAL:","",(IF('Swan Parts'!$B43="CODE","",IF('Swan Parts'!$C43&gt;0,'Swan Parts'!B43,"")))))</f>
        <v/>
      </c>
      <c r="F43" s="271" t="str">
        <f ca="1">IF(CELL("type",'Swan Parts'!$C43)&lt;&gt;"v","",IF('Swan Parts'!$B43="TOTAL:","",(IF('Swan Parts'!$B43="CODE","",IF('Swan Parts'!$C43&gt;0,'Swan Parts'!C43,"")))))</f>
        <v/>
      </c>
      <c r="H43" s="271" t="str">
        <f ca="1">IF(CELL("type",'Soft Ice'!$C43)&lt;&gt;"v","",IF('Soft Ice'!$B43="TOTAL:","",(IF('Soft Ice'!$B43="CODE","",IF('Soft Ice'!$C43&gt;0,'Soft Ice'!B43,"")))))</f>
        <v/>
      </c>
      <c r="I43" s="271" t="str">
        <f ca="1">IF(CELL("type",'Soft Ice'!$C43)&lt;&gt;"v","",IF('Soft Ice'!$B43="TOTAL:","",(IF('Soft Ice'!$B43="CODE","",IF('Soft Ice'!$C43&gt;0,'Soft Ice'!C43,"")))))</f>
        <v/>
      </c>
    </row>
    <row r="44" spans="2:9">
      <c r="B44" s="271" t="str">
        <f ca="1">IF(CELL("type",'Tropical Sno'!$C44)&lt;&gt;"v","",IF('Tropical Sno'!$B44="TOTAL:","",(IF('Tropical Sno'!$B44="CODE","",IF('Tropical Sno'!$C44&gt;0,'Tropical Sno'!B44,"")))))</f>
        <v/>
      </c>
      <c r="C44" s="271" t="str">
        <f ca="1">IF(CELL("type",'Tropical Sno'!$C44)&lt;&gt;"v","",IF('Tropical Sno'!$B44="TOTAL:","",(IF('Tropical Sno'!$B44="CODE","",IF('Tropical Sno'!$C44&gt;0,'Tropical Sno'!C44,"")))))</f>
        <v/>
      </c>
      <c r="E44" s="271" t="str">
        <f ca="1">IF(CELL("type",'Swan Parts'!$C44)&lt;&gt;"v","",IF('Swan Parts'!$B44="TOTAL:","",(IF('Swan Parts'!$B44="CODE","",IF('Swan Parts'!$C44&gt;0,'Swan Parts'!B44,"")))))</f>
        <v/>
      </c>
      <c r="F44" s="271" t="str">
        <f ca="1">IF(CELL("type",'Swan Parts'!$C44)&lt;&gt;"v","",IF('Swan Parts'!$B44="TOTAL:","",(IF('Swan Parts'!$B44="CODE","",IF('Swan Parts'!$C44&gt;0,'Swan Parts'!C44,"")))))</f>
        <v/>
      </c>
      <c r="H44" s="271" t="str">
        <f ca="1">IF(CELL("type",'Soft Ice'!$C44)&lt;&gt;"v","",IF('Soft Ice'!$B44="TOTAL:","",(IF('Soft Ice'!$B44="CODE","",IF('Soft Ice'!$C44&gt;0,'Soft Ice'!B44,"")))))</f>
        <v/>
      </c>
      <c r="I44" s="271" t="str">
        <f ca="1">IF(CELL("type",'Soft Ice'!$C44)&lt;&gt;"v","",IF('Soft Ice'!$B44="TOTAL:","",(IF('Soft Ice'!$B44="CODE","",IF('Soft Ice'!$C44&gt;0,'Soft Ice'!C44,"")))))</f>
        <v/>
      </c>
    </row>
    <row r="45" spans="2:9">
      <c r="B45" s="271" t="str">
        <f ca="1">IF(CELL("type",'Tropical Sno'!$C45)&lt;&gt;"v","",IF('Tropical Sno'!$B45="TOTAL:","",(IF('Tropical Sno'!$B45="CODE","",IF('Tropical Sno'!$C45&gt;0,'Tropical Sno'!B45,"")))))</f>
        <v/>
      </c>
      <c r="C45" s="271" t="str">
        <f ca="1">IF(CELL("type",'Tropical Sno'!$C45)&lt;&gt;"v","",IF('Tropical Sno'!$B45="TOTAL:","",(IF('Tropical Sno'!$B45="CODE","",IF('Tropical Sno'!$C45&gt;0,'Tropical Sno'!C45,"")))))</f>
        <v/>
      </c>
      <c r="E45" s="271" t="str">
        <f ca="1">IF(CELL("type",'Swan Parts'!$C45)&lt;&gt;"v","",IF('Swan Parts'!$B45="TOTAL:","",(IF('Swan Parts'!$B45="CODE","",IF('Swan Parts'!$C45&gt;0,'Swan Parts'!B45,"")))))</f>
        <v/>
      </c>
      <c r="F45" s="271" t="str">
        <f ca="1">IF(CELL("type",'Swan Parts'!$C45)&lt;&gt;"v","",IF('Swan Parts'!$B45="TOTAL:","",(IF('Swan Parts'!$B45="CODE","",IF('Swan Parts'!$C45&gt;0,'Swan Parts'!C45,"")))))</f>
        <v/>
      </c>
      <c r="H45" s="271" t="str">
        <f ca="1">IF(CELL("type",'Soft Ice'!$C45)&lt;&gt;"v","",IF('Soft Ice'!$B45="TOTAL:","",(IF('Soft Ice'!$B45="CODE","",IF('Soft Ice'!$C45&gt;0,'Soft Ice'!B45,"")))))</f>
        <v/>
      </c>
      <c r="I45" s="271" t="str">
        <f ca="1">IF(CELL("type",'Soft Ice'!$C45)&lt;&gt;"v","",IF('Soft Ice'!$B45="TOTAL:","",(IF('Soft Ice'!$B45="CODE","",IF('Soft Ice'!$C45&gt;0,'Soft Ice'!C45,"")))))</f>
        <v/>
      </c>
    </row>
    <row r="46" spans="2:9">
      <c r="B46" s="271" t="str">
        <f ca="1">IF(CELL("type",'Tropical Sno'!$C46)&lt;&gt;"v","",IF('Tropical Sno'!$B46="TOTAL:","",(IF('Tropical Sno'!$B46="CODE","",IF('Tropical Sno'!$C46&gt;0,'Tropical Sno'!B46,"")))))</f>
        <v/>
      </c>
      <c r="C46" s="271" t="str">
        <f ca="1">IF(CELL("type",'Tropical Sno'!$C46)&lt;&gt;"v","",IF('Tropical Sno'!$B46="TOTAL:","",(IF('Tropical Sno'!$B46="CODE","",IF('Tropical Sno'!$C46&gt;0,'Tropical Sno'!C46,"")))))</f>
        <v/>
      </c>
      <c r="E46" s="271" t="str">
        <f ca="1">IF(CELL("type",'Swan Parts'!$C46)&lt;&gt;"v","",IF('Swan Parts'!$B46="TOTAL:","",(IF('Swan Parts'!$B46="CODE","",IF('Swan Parts'!$C46&gt;0,'Swan Parts'!B46,"")))))</f>
        <v/>
      </c>
      <c r="F46" s="271" t="str">
        <f ca="1">IF(CELL("type",'Swan Parts'!$C46)&lt;&gt;"v","",IF('Swan Parts'!$B46="TOTAL:","",(IF('Swan Parts'!$B46="CODE","",IF('Swan Parts'!$C46&gt;0,'Swan Parts'!C46,"")))))</f>
        <v/>
      </c>
      <c r="H46" s="271" t="str">
        <f ca="1">IF(CELL("type",'Soft Ice'!$C46)&lt;&gt;"v","",IF('Soft Ice'!$B46="TOTAL:","",(IF('Soft Ice'!$B46="CODE","",IF('Soft Ice'!$C46&gt;0,'Soft Ice'!B46,"")))))</f>
        <v/>
      </c>
      <c r="I46" s="271" t="str">
        <f ca="1">IF(CELL("type",'Soft Ice'!$C46)&lt;&gt;"v","",IF('Soft Ice'!$B46="TOTAL:","",(IF('Soft Ice'!$B46="CODE","",IF('Soft Ice'!$C46&gt;0,'Soft Ice'!C46,"")))))</f>
        <v/>
      </c>
    </row>
    <row r="47" spans="2:9">
      <c r="B47" s="271" t="str">
        <f ca="1">IF(CELL("type",'Tropical Sno'!$C47)&lt;&gt;"v","",IF('Tropical Sno'!$B47="TOTAL:","",(IF('Tropical Sno'!$B47="CODE","",IF('Tropical Sno'!$C47&gt;0,'Tropical Sno'!B47,"")))))</f>
        <v/>
      </c>
      <c r="C47" s="271" t="str">
        <f ca="1">IF(CELL("type",'Tropical Sno'!$C47)&lt;&gt;"v","",IF('Tropical Sno'!$B47="TOTAL:","",(IF('Tropical Sno'!$B47="CODE","",IF('Tropical Sno'!$C47&gt;0,'Tropical Sno'!C47,"")))))</f>
        <v/>
      </c>
      <c r="E47" s="271" t="str">
        <f ca="1">IF(CELL("type",'Swan Parts'!$C47)&lt;&gt;"v","",IF('Swan Parts'!$B47="TOTAL:","",(IF('Swan Parts'!$B47="CODE","",IF('Swan Parts'!$C47&gt;0,'Swan Parts'!B47,"")))))</f>
        <v/>
      </c>
      <c r="F47" s="271" t="str">
        <f ca="1">IF(CELL("type",'Swan Parts'!$C47)&lt;&gt;"v","",IF('Swan Parts'!$B47="TOTAL:","",(IF('Swan Parts'!$B47="CODE","",IF('Swan Parts'!$C47&gt;0,'Swan Parts'!C47,"")))))</f>
        <v/>
      </c>
      <c r="H47" s="271" t="str">
        <f ca="1">IF(CELL("type",'Soft Ice'!$C47)&lt;&gt;"v","",IF('Soft Ice'!$B47="TOTAL:","",(IF('Soft Ice'!$B47="CODE","",IF('Soft Ice'!$C47&gt;0,'Soft Ice'!B47,"")))))</f>
        <v/>
      </c>
      <c r="I47" s="271" t="str">
        <f ca="1">IF(CELL("type",'Soft Ice'!$C47)&lt;&gt;"v","",IF('Soft Ice'!$B47="TOTAL:","",(IF('Soft Ice'!$B47="CODE","",IF('Soft Ice'!$C47&gt;0,'Soft Ice'!C47,"")))))</f>
        <v/>
      </c>
    </row>
    <row r="48" spans="2:9">
      <c r="B48" s="271" t="str">
        <f ca="1">IF(CELL("type",'Tropical Sno'!$C48)&lt;&gt;"v","",IF('Tropical Sno'!$B48="TOTAL:","",(IF('Tropical Sno'!$B48="CODE","",IF('Tropical Sno'!$C48&gt;0,'Tropical Sno'!B48,"")))))</f>
        <v/>
      </c>
      <c r="C48" s="271" t="str">
        <f ca="1">IF(CELL("type",'Tropical Sno'!$C48)&lt;&gt;"v","",IF('Tropical Sno'!$B48="TOTAL:","",(IF('Tropical Sno'!$B48="CODE","",IF('Tropical Sno'!$C48&gt;0,'Tropical Sno'!C48,"")))))</f>
        <v/>
      </c>
      <c r="E48" s="271" t="str">
        <f ca="1">IF(CELL("type",'Swan Parts'!$C48)&lt;&gt;"v","",IF('Swan Parts'!$B48="TOTAL:","",(IF('Swan Parts'!$B48="CODE","",IF('Swan Parts'!$C48&gt;0,'Swan Parts'!B48,"")))))</f>
        <v/>
      </c>
      <c r="F48" s="271" t="str">
        <f ca="1">IF(CELL("type",'Swan Parts'!$C48)&lt;&gt;"v","",IF('Swan Parts'!$B48="TOTAL:","",(IF('Swan Parts'!$B48="CODE","",IF('Swan Parts'!$C48&gt;0,'Swan Parts'!C48,"")))))</f>
        <v/>
      </c>
      <c r="H48" s="271" t="str">
        <f ca="1">IF(CELL("type",'Soft Ice'!$C48)&lt;&gt;"v","",IF('Soft Ice'!$B48="TOTAL:","",(IF('Soft Ice'!$B48="CODE","",IF('Soft Ice'!$C48&gt;0,'Soft Ice'!B48,"")))))</f>
        <v/>
      </c>
      <c r="I48" s="271" t="str">
        <f ca="1">IF(CELL("type",'Soft Ice'!$C48)&lt;&gt;"v","",IF('Soft Ice'!$B48="TOTAL:","",(IF('Soft Ice'!$B48="CODE","",IF('Soft Ice'!$C48&gt;0,'Soft Ice'!C48,"")))))</f>
        <v/>
      </c>
    </row>
    <row r="49" spans="2:9">
      <c r="B49" s="271" t="str">
        <f ca="1">IF(CELL("type",'Tropical Sno'!$C49)&lt;&gt;"v","",IF('Tropical Sno'!$B49="TOTAL:","",(IF('Tropical Sno'!$B49="CODE","",IF('Tropical Sno'!$C49&gt;0,'Tropical Sno'!B49,"")))))</f>
        <v/>
      </c>
      <c r="C49" s="271" t="str">
        <f ca="1">IF(CELL("type",'Tropical Sno'!$C49)&lt;&gt;"v","",IF('Tropical Sno'!$B49="TOTAL:","",(IF('Tropical Sno'!$B49="CODE","",IF('Tropical Sno'!$C49&gt;0,'Tropical Sno'!C49,"")))))</f>
        <v/>
      </c>
      <c r="E49" s="271" t="str">
        <f ca="1">IF(CELL("type",'Swan Parts'!$C49)&lt;&gt;"v","",IF('Swan Parts'!$B49="TOTAL:","",(IF('Swan Parts'!$B49="CODE","",IF('Swan Parts'!$C49&gt;0,'Swan Parts'!B49,"")))))</f>
        <v/>
      </c>
      <c r="F49" s="271" t="str">
        <f ca="1">IF(CELL("type",'Swan Parts'!$C49)&lt;&gt;"v","",IF('Swan Parts'!$B49="TOTAL:","",(IF('Swan Parts'!$B49="CODE","",IF('Swan Parts'!$C49&gt;0,'Swan Parts'!C49,"")))))</f>
        <v/>
      </c>
      <c r="H49" s="272"/>
      <c r="I49" s="272"/>
    </row>
    <row r="50" spans="2:9">
      <c r="B50" s="271" t="str">
        <f ca="1">IF(CELL("type",'Tropical Sno'!$C50)&lt;&gt;"v","",IF('Tropical Sno'!$B50="TOTAL:","",(IF('Tropical Sno'!$B50="CODE","",IF('Tropical Sno'!$C50&gt;0,'Tropical Sno'!B50,"")))))</f>
        <v/>
      </c>
      <c r="C50" s="271" t="str">
        <f ca="1">IF(CELL("type",'Tropical Sno'!$C50)&lt;&gt;"v","",IF('Tropical Sno'!$B50="TOTAL:","",(IF('Tropical Sno'!$B50="CODE","",IF('Tropical Sno'!$C50&gt;0,'Tropical Sno'!C50,"")))))</f>
        <v/>
      </c>
      <c r="E50" s="271" t="str">
        <f ca="1">IF(CELL("type",'Swan Parts'!$C50)&lt;&gt;"v","",IF('Swan Parts'!$B50="TOTAL:","",(IF('Swan Parts'!$B50="CODE","",IF('Swan Parts'!$C50&gt;0,'Swan Parts'!B50,"")))))</f>
        <v/>
      </c>
      <c r="F50" s="271" t="str">
        <f ca="1">IF(CELL("type",'Swan Parts'!$C50)&lt;&gt;"v","",IF('Swan Parts'!$B50="TOTAL:","",(IF('Swan Parts'!$B50="CODE","",IF('Swan Parts'!$C50&gt;0,'Swan Parts'!C50,"")))))</f>
        <v/>
      </c>
      <c r="H50" s="277" t="s">
        <v>457</v>
      </c>
      <c r="I50" s="275">
        <f ca="1">SUM(I6:I49)</f>
        <v>0</v>
      </c>
    </row>
    <row r="51" spans="2:9">
      <c r="B51" s="271" t="str">
        <f ca="1">IF(CELL("type",'Tropical Sno'!$C51)&lt;&gt;"v","",IF('Tropical Sno'!$B51="TOTAL:","",(IF('Tropical Sno'!$B51="CODE","",IF('Tropical Sno'!$C51&gt;0,'Tropical Sno'!B51,"")))))</f>
        <v/>
      </c>
      <c r="C51" s="271" t="str">
        <f ca="1">IF(CELL("type",'Tropical Sno'!$C51)&lt;&gt;"v","",IF('Tropical Sno'!$B51="TOTAL:","",(IF('Tropical Sno'!$B51="CODE","",IF('Tropical Sno'!$C51&gt;0,'Tropical Sno'!C51,"")))))</f>
        <v/>
      </c>
      <c r="E51" s="271" t="str">
        <f ca="1">IF(CELL("type",'Swan Parts'!$C51)&lt;&gt;"v","",IF('Swan Parts'!$B51="TOTAL:","",(IF('Swan Parts'!$B51="CODE","",IF('Swan Parts'!$C51&gt;0,'Swan Parts'!B51,"")))))</f>
        <v/>
      </c>
      <c r="F51" s="271" t="str">
        <f ca="1">IF(CELL("type",'Swan Parts'!$C51)&lt;&gt;"v","",IF('Swan Parts'!$B51="TOTAL:","",(IF('Swan Parts'!$B51="CODE","",IF('Swan Parts'!$C51&gt;0,'Swan Parts'!C51,"")))))</f>
        <v/>
      </c>
    </row>
    <row r="52" spans="2:9">
      <c r="B52" s="271" t="str">
        <f ca="1">IF(CELL("type",'Tropical Sno'!$C52)&lt;&gt;"v","",IF('Tropical Sno'!$B52="TOTAL:","",(IF('Tropical Sno'!$B52="CODE","",IF('Tropical Sno'!$C52&gt;0,'Tropical Sno'!B52,"")))))</f>
        <v/>
      </c>
      <c r="C52" s="271" t="str">
        <f ca="1">IF(CELL("type",'Tropical Sno'!$C52)&lt;&gt;"v","",IF('Tropical Sno'!$B52="TOTAL:","",(IF('Tropical Sno'!$B52="CODE","",IF('Tropical Sno'!$C52&gt;0,'Tropical Sno'!C52,"")))))</f>
        <v/>
      </c>
      <c r="E52" s="271" t="str">
        <f ca="1">IF(CELL("type",'Swan Parts'!$C52)&lt;&gt;"v","",IF('Swan Parts'!$B52="TOTAL:","",(IF('Swan Parts'!$B52="CODE","",IF('Swan Parts'!$C52&gt;0,'Swan Parts'!B52,"")))))</f>
        <v/>
      </c>
      <c r="F52" s="271" t="str">
        <f ca="1">IF(CELL("type",'Swan Parts'!$C52)&lt;&gt;"v","",IF('Swan Parts'!$B52="TOTAL:","",(IF('Swan Parts'!$B52="CODE","",IF('Swan Parts'!$C52&gt;0,'Swan Parts'!C52,"")))))</f>
        <v/>
      </c>
      <c r="H52" s="274"/>
      <c r="I52" s="274"/>
    </row>
    <row r="53" spans="2:9">
      <c r="B53" s="271" t="str">
        <f ca="1">IF(CELL("type",'Tropical Sno'!$C53)&lt;&gt;"v","",IF('Tropical Sno'!$B53="TOTAL:","",(IF('Tropical Sno'!$B53="CODE","",IF('Tropical Sno'!$C53&gt;0,'Tropical Sno'!B53,"")))))</f>
        <v/>
      </c>
      <c r="C53" s="271" t="str">
        <f ca="1">IF(CELL("type",'Tropical Sno'!$C53)&lt;&gt;"v","",IF('Tropical Sno'!$B53="TOTAL:","",(IF('Tropical Sno'!$B53="CODE","",IF('Tropical Sno'!$C53&gt;0,'Tropical Sno'!C53,"")))))</f>
        <v/>
      </c>
      <c r="E53" s="271" t="str">
        <f ca="1">IF(CELL("type",'Swan Parts'!$C53)&lt;&gt;"v","",IF('Swan Parts'!$B53="TOTAL:","",(IF('Swan Parts'!$B53="CODE","",IF('Swan Parts'!$C53&gt;0,'Swan Parts'!B53,"")))))</f>
        <v/>
      </c>
      <c r="F53" s="271" t="str">
        <f ca="1">IF(CELL("type",'Swan Parts'!$C53)&lt;&gt;"v","",IF('Swan Parts'!$B53="TOTAL:","",(IF('Swan Parts'!$B53="CODE","",IF('Swan Parts'!$C53&gt;0,'Swan Parts'!C53,"")))))</f>
        <v/>
      </c>
      <c r="H53" s="274"/>
      <c r="I53" s="274"/>
    </row>
    <row r="54" spans="2:9">
      <c r="B54" s="271" t="str">
        <f ca="1">IF(CELL("type",'Tropical Sno'!$C54)&lt;&gt;"v","",IF('Tropical Sno'!$B54="TOTAL:","",(IF('Tropical Sno'!$B54="CODE","",IF('Tropical Sno'!$C54&gt;0,'Tropical Sno'!B54,"")))))</f>
        <v/>
      </c>
      <c r="C54" s="271" t="str">
        <f ca="1">IF(CELL("type",'Tropical Sno'!$C54)&lt;&gt;"v","",IF('Tropical Sno'!$B54="TOTAL:","",(IF('Tropical Sno'!$B54="CODE","",IF('Tropical Sno'!$C54&gt;0,'Tropical Sno'!C54,"")))))</f>
        <v/>
      </c>
      <c r="E54" s="271" t="str">
        <f ca="1">IF(CELL("type",'Swan Parts'!$C54)&lt;&gt;"v","",IF('Swan Parts'!$B54="TOTAL:","",(IF('Swan Parts'!$B54="CODE","",IF('Swan Parts'!$C54&gt;0,'Swan Parts'!B54,"")))))</f>
        <v/>
      </c>
      <c r="F54" s="271" t="str">
        <f ca="1">IF(CELL("type",'Swan Parts'!$C54)&lt;&gt;"v","",IF('Swan Parts'!$B54="TOTAL:","",(IF('Swan Parts'!$B54="CODE","",IF('Swan Parts'!$C54&gt;0,'Swan Parts'!C54,"")))))</f>
        <v/>
      </c>
      <c r="H54" s="274"/>
      <c r="I54" s="274"/>
    </row>
    <row r="55" spans="2:9">
      <c r="B55" s="271" t="str">
        <f ca="1">IF(CELL("type",'Tropical Sno'!$C55)&lt;&gt;"v","",IF('Tropical Sno'!$B55="TOTAL:","",(IF('Tropical Sno'!$B55="CODE","",IF('Tropical Sno'!$C55&gt;0,'Tropical Sno'!B55,"")))))</f>
        <v/>
      </c>
      <c r="C55" s="271" t="str">
        <f ca="1">IF(CELL("type",'Tropical Sno'!$C55)&lt;&gt;"v","",IF('Tropical Sno'!$B55="TOTAL:","",(IF('Tropical Sno'!$B55="CODE","",IF('Tropical Sno'!$C55&gt;0,'Tropical Sno'!C55,"")))))</f>
        <v/>
      </c>
      <c r="E55" s="271" t="str">
        <f ca="1">IF(CELL("type",'Swan Parts'!$C55)&lt;&gt;"v","",IF('Swan Parts'!$B55="TOTAL:","",(IF('Swan Parts'!$B55="CODE","",IF('Swan Parts'!$C55&gt;0,'Swan Parts'!B55,"")))))</f>
        <v/>
      </c>
      <c r="F55" s="271" t="str">
        <f ca="1">IF(CELL("type",'Swan Parts'!$C55)&lt;&gt;"v","",IF('Swan Parts'!$B55="TOTAL:","",(IF('Swan Parts'!$B55="CODE","",IF('Swan Parts'!$C55&gt;0,'Swan Parts'!C55,"")))))</f>
        <v/>
      </c>
      <c r="H55" s="274"/>
      <c r="I55" s="274"/>
    </row>
    <row r="56" spans="2:9">
      <c r="B56" s="271" t="str">
        <f ca="1">IF(CELL("type",'Tropical Sno'!$C56)&lt;&gt;"v","",IF('Tropical Sno'!$B56="TOTAL:","",(IF('Tropical Sno'!$B56="CODE","",IF('Tropical Sno'!$C56&gt;0,'Tropical Sno'!B56,"")))))</f>
        <v/>
      </c>
      <c r="C56" s="271" t="str">
        <f ca="1">IF(CELL("type",'Tropical Sno'!$C56)&lt;&gt;"v","",IF('Tropical Sno'!$B56="TOTAL:","",(IF('Tropical Sno'!$B56="CODE","",IF('Tropical Sno'!$C56&gt;0,'Tropical Sno'!C56,"")))))</f>
        <v/>
      </c>
      <c r="E56" s="271" t="str">
        <f ca="1">IF(CELL("type",'Swan Parts'!$C56)&lt;&gt;"v","",IF('Swan Parts'!$B56="TOTAL:","",(IF('Swan Parts'!$B56="CODE","",IF('Swan Parts'!$C56&gt;0,'Swan Parts'!B56,"")))))</f>
        <v/>
      </c>
      <c r="F56" s="271" t="str">
        <f ca="1">IF(CELL("type",'Swan Parts'!$C56)&lt;&gt;"v","",IF('Swan Parts'!$B56="TOTAL:","",(IF('Swan Parts'!$B56="CODE","",IF('Swan Parts'!$C56&gt;0,'Swan Parts'!C56,"")))))</f>
        <v/>
      </c>
      <c r="H56" s="274"/>
      <c r="I56" s="274"/>
    </row>
    <row r="57" spans="2:9">
      <c r="B57" s="271" t="str">
        <f ca="1">IF(CELL("type",'Tropical Sno'!$C57)&lt;&gt;"v","",IF('Tropical Sno'!$B57="TOTAL:","",(IF('Tropical Sno'!$B57="CODE","",IF('Tropical Sno'!$C57&gt;0,'Tropical Sno'!B57,"")))))</f>
        <v/>
      </c>
      <c r="C57" s="271" t="str">
        <f ca="1">IF(CELL("type",'Tropical Sno'!$C57)&lt;&gt;"v","",IF('Tropical Sno'!$B57="TOTAL:","",(IF('Tropical Sno'!$B57="CODE","",IF('Tropical Sno'!$C57&gt;0,'Tropical Sno'!C57,"")))))</f>
        <v/>
      </c>
      <c r="E57" s="271" t="str">
        <f ca="1">IF(CELL("type",'Swan Parts'!$C57)&lt;&gt;"v","",IF('Swan Parts'!$B57="TOTAL:","",(IF('Swan Parts'!$B57="CODE","",IF('Swan Parts'!$C57&gt;0,'Swan Parts'!B57,"")))))</f>
        <v/>
      </c>
      <c r="F57" s="271" t="str">
        <f ca="1">IF(CELL("type",'Swan Parts'!$C57)&lt;&gt;"v","",IF('Swan Parts'!$B57="TOTAL:","",(IF('Swan Parts'!$B57="CODE","",IF('Swan Parts'!$C57&gt;0,'Swan Parts'!C57,"")))))</f>
        <v/>
      </c>
      <c r="H57" s="274"/>
      <c r="I57" s="274"/>
    </row>
    <row r="58" spans="2:9">
      <c r="B58" s="271" t="str">
        <f ca="1">IF(CELL("type",'Tropical Sno'!$C58)&lt;&gt;"v","",IF('Tropical Sno'!$B58="TOTAL:","",(IF('Tropical Sno'!$B58="CODE","",IF('Tropical Sno'!$C58&gt;0,'Tropical Sno'!B58,"")))))</f>
        <v/>
      </c>
      <c r="C58" s="271" t="str">
        <f ca="1">IF(CELL("type",'Tropical Sno'!$C58)&lt;&gt;"v","",IF('Tropical Sno'!$B58="TOTAL:","",(IF('Tropical Sno'!$B58="CODE","",IF('Tropical Sno'!$C58&gt;0,'Tropical Sno'!C58,"")))))</f>
        <v/>
      </c>
      <c r="E58" s="271" t="str">
        <f ca="1">IF(CELL("type",'Swan Parts'!$C58)&lt;&gt;"v","",IF('Swan Parts'!$B58="TOTAL:","",(IF('Swan Parts'!$B58="CODE","",IF('Swan Parts'!$C58&gt;0,'Swan Parts'!B58,"")))))</f>
        <v/>
      </c>
      <c r="F58" s="271" t="str">
        <f ca="1">IF(CELL("type",'Swan Parts'!$C58)&lt;&gt;"v","",IF('Swan Parts'!$B58="TOTAL:","",(IF('Swan Parts'!$B58="CODE","",IF('Swan Parts'!$C58&gt;0,'Swan Parts'!C58,"")))))</f>
        <v/>
      </c>
      <c r="H58" s="274"/>
      <c r="I58" s="274"/>
    </row>
    <row r="59" spans="2:9">
      <c r="B59" s="271" t="str">
        <f ca="1">IF(CELL("type",'Tropical Sno'!$C59)&lt;&gt;"v","",IF('Tropical Sno'!$B59="TOTAL:","",(IF('Tropical Sno'!$B59="CODE","",IF('Tropical Sno'!$C59&gt;0,'Tropical Sno'!B59,"")))))</f>
        <v/>
      </c>
      <c r="C59" s="271" t="str">
        <f ca="1">IF(CELL("type",'Tropical Sno'!$C59)&lt;&gt;"v","",IF('Tropical Sno'!$B59="TOTAL:","",(IF('Tropical Sno'!$B59="CODE","",IF('Tropical Sno'!$C59&gt;0,'Tropical Sno'!C59,"")))))</f>
        <v/>
      </c>
      <c r="E59" s="271" t="str">
        <f ca="1">IF(CELL("type",'Swan Parts'!$C59)&lt;&gt;"v","",IF('Swan Parts'!$B59="TOTAL:","",(IF('Swan Parts'!$B59="CODE","",IF('Swan Parts'!$C59&gt;0,'Swan Parts'!B59,"")))))</f>
        <v/>
      </c>
      <c r="F59" s="271" t="str">
        <f ca="1">IF(CELL("type",'Swan Parts'!$C59)&lt;&gt;"v","",IF('Swan Parts'!$B59="TOTAL:","",(IF('Swan Parts'!$B59="CODE","",IF('Swan Parts'!$C59&gt;0,'Swan Parts'!C59,"")))))</f>
        <v/>
      </c>
      <c r="H59" s="274"/>
      <c r="I59" s="274"/>
    </row>
    <row r="60" spans="2:9">
      <c r="B60" s="271" t="str">
        <f ca="1">IF(CELL("type",'Tropical Sno'!$C60)&lt;&gt;"v","",IF('Tropical Sno'!$B60="TOTAL:","",(IF('Tropical Sno'!$B60="CODE","",IF('Tropical Sno'!$C60&gt;0,'Tropical Sno'!B60,"")))))</f>
        <v/>
      </c>
      <c r="C60" s="271" t="str">
        <f ca="1">IF(CELL("type",'Tropical Sno'!$C60)&lt;&gt;"v","",IF('Tropical Sno'!$B60="TOTAL:","",(IF('Tropical Sno'!$B60="CODE","",IF('Tropical Sno'!$C60&gt;0,'Tropical Sno'!C60,"")))))</f>
        <v/>
      </c>
      <c r="E60" s="271" t="str">
        <f ca="1">IF(CELL("type",'Swan Parts'!$C60)&lt;&gt;"v","",IF('Swan Parts'!$B60="TOTAL:","",(IF('Swan Parts'!$B60="CODE","",IF('Swan Parts'!$C60&gt;0,'Swan Parts'!B60,"")))))</f>
        <v/>
      </c>
      <c r="F60" s="271" t="str">
        <f ca="1">IF(CELL("type",'Swan Parts'!$C60)&lt;&gt;"v","",IF('Swan Parts'!$B60="TOTAL:","",(IF('Swan Parts'!$B60="CODE","",IF('Swan Parts'!$C60&gt;0,'Swan Parts'!C60,"")))))</f>
        <v/>
      </c>
      <c r="H60" s="274"/>
      <c r="I60" s="274"/>
    </row>
    <row r="61" spans="2:9">
      <c r="B61" s="271" t="str">
        <f ca="1">IF(CELL("type",'Tropical Sno'!$C61)&lt;&gt;"v","",IF('Tropical Sno'!$B61="TOTAL:","",(IF('Tropical Sno'!$B61="CODE","",IF('Tropical Sno'!$C61&gt;0,'Tropical Sno'!B61,"")))))</f>
        <v/>
      </c>
      <c r="C61" s="271" t="str">
        <f ca="1">IF(CELL("type",'Tropical Sno'!$C61)&lt;&gt;"v","",IF('Tropical Sno'!$B61="TOTAL:","",(IF('Tropical Sno'!$B61="CODE","",IF('Tropical Sno'!$C61&gt;0,'Tropical Sno'!C61,"")))))</f>
        <v/>
      </c>
      <c r="E61" s="271" t="str">
        <f ca="1">IF(CELL("type",'Swan Parts'!$C61)&lt;&gt;"v","",IF('Swan Parts'!$B61="TOTAL:","",(IF('Swan Parts'!$B61="CODE","",IF('Swan Parts'!$C61&gt;0,'Swan Parts'!B61,"")))))</f>
        <v/>
      </c>
      <c r="F61" s="271" t="str">
        <f ca="1">IF(CELL("type",'Swan Parts'!$C61)&lt;&gt;"v","",IF('Swan Parts'!$B61="TOTAL:","",(IF('Swan Parts'!$B61="CODE","",IF('Swan Parts'!$C61&gt;0,'Swan Parts'!C61,"")))))</f>
        <v/>
      </c>
      <c r="H61" s="274"/>
      <c r="I61" s="274"/>
    </row>
    <row r="62" spans="2:9">
      <c r="B62" s="271" t="str">
        <f ca="1">IF(CELL("type",'Tropical Sno'!$C62)&lt;&gt;"v","",IF('Tropical Sno'!$B62="TOTAL:","",(IF('Tropical Sno'!$B62="CODE","",IF('Tropical Sno'!$C62&gt;0,'Tropical Sno'!B62,"")))))</f>
        <v/>
      </c>
      <c r="C62" s="271" t="str">
        <f ca="1">IF(CELL("type",'Tropical Sno'!$C62)&lt;&gt;"v","",IF('Tropical Sno'!$B62="TOTAL:","",(IF('Tropical Sno'!$B62="CODE","",IF('Tropical Sno'!$C62&gt;0,'Tropical Sno'!C62,"")))))</f>
        <v/>
      </c>
      <c r="E62" s="271" t="str">
        <f ca="1">IF(CELL("type",'Swan Parts'!$C62)&lt;&gt;"v","",IF('Swan Parts'!$B62="TOTAL:","",(IF('Swan Parts'!$B62="CODE","",IF('Swan Parts'!$C62&gt;0,'Swan Parts'!B62,"")))))</f>
        <v/>
      </c>
      <c r="F62" s="271" t="str">
        <f ca="1">IF(CELL("type",'Swan Parts'!$C62)&lt;&gt;"v","",IF('Swan Parts'!$B62="TOTAL:","",(IF('Swan Parts'!$B62="CODE","",IF('Swan Parts'!$C62&gt;0,'Swan Parts'!C62,"")))))</f>
        <v/>
      </c>
      <c r="H62" s="274"/>
      <c r="I62" s="274"/>
    </row>
    <row r="63" spans="2:9">
      <c r="B63" s="271" t="str">
        <f ca="1">IF(CELL("type",'Tropical Sno'!$C63)&lt;&gt;"v","",IF('Tropical Sno'!$B63="TOTAL:","",(IF('Tropical Sno'!$B63="CODE","",IF('Tropical Sno'!$C63&gt;0,'Tropical Sno'!B63,"")))))</f>
        <v/>
      </c>
      <c r="C63" s="271" t="str">
        <f ca="1">IF(CELL("type",'Tropical Sno'!$C63)&lt;&gt;"v","",IF('Tropical Sno'!$B63="TOTAL:","",(IF('Tropical Sno'!$B63="CODE","",IF('Tropical Sno'!$C63&gt;0,'Tropical Sno'!C63,"")))))</f>
        <v/>
      </c>
      <c r="E63" s="271" t="str">
        <f ca="1">IF(CELL("type",'Swan Parts'!$C63)&lt;&gt;"v","",IF('Swan Parts'!$B63="TOTAL:","",(IF('Swan Parts'!$B63="CODE","",IF('Swan Parts'!$C63&gt;0,'Swan Parts'!B63,"")))))</f>
        <v/>
      </c>
      <c r="F63" s="271" t="str">
        <f ca="1">IF(CELL("type",'Swan Parts'!$C63)&lt;&gt;"v","",IF('Swan Parts'!$B63="TOTAL:","",(IF('Swan Parts'!$B63="CODE","",IF('Swan Parts'!$C63&gt;0,'Swan Parts'!C63,"")))))</f>
        <v/>
      </c>
      <c r="H63" s="274"/>
      <c r="I63" s="274"/>
    </row>
    <row r="64" spans="2:9">
      <c r="B64" s="271" t="str">
        <f ca="1">IF(CELL("type",'Tropical Sno'!$C64)&lt;&gt;"v","",IF('Tropical Sno'!$B64="TOTAL:","",(IF('Tropical Sno'!$B64="CODE","",IF('Tropical Sno'!$C64&gt;0,'Tropical Sno'!B64,"")))))</f>
        <v/>
      </c>
      <c r="C64" s="271" t="str">
        <f ca="1">IF(CELL("type",'Tropical Sno'!$C64)&lt;&gt;"v","",IF('Tropical Sno'!$B64="TOTAL:","",(IF('Tropical Sno'!$B64="CODE","",IF('Tropical Sno'!$C64&gt;0,'Tropical Sno'!C64,"")))))</f>
        <v/>
      </c>
      <c r="E64" s="271" t="str">
        <f ca="1">IF(CELL("type",'Swan Parts'!$C64)&lt;&gt;"v","",IF('Swan Parts'!$B64="TOTAL:","",(IF('Swan Parts'!$B64="CODE","",IF('Swan Parts'!$C64&gt;0,'Swan Parts'!B64,"")))))</f>
        <v/>
      </c>
      <c r="F64" s="271" t="str">
        <f ca="1">IF(CELL("type",'Swan Parts'!$C64)&lt;&gt;"v","",IF('Swan Parts'!$B64="TOTAL:","",(IF('Swan Parts'!$B64="CODE","",IF('Swan Parts'!$C64&gt;0,'Swan Parts'!C64,"")))))</f>
        <v/>
      </c>
      <c r="H64" s="274"/>
      <c r="I64" s="274"/>
    </row>
    <row r="65" spans="2:9">
      <c r="B65" s="271" t="str">
        <f ca="1">IF(CELL("type",'Tropical Sno'!$C65)&lt;&gt;"v","",IF('Tropical Sno'!$B65="TOTAL:","",(IF('Tropical Sno'!$B65="CODE","",IF('Tropical Sno'!$C65&gt;0,'Tropical Sno'!B65,"")))))</f>
        <v/>
      </c>
      <c r="C65" s="271" t="str">
        <f ca="1">IF(CELL("type",'Tropical Sno'!$C65)&lt;&gt;"v","",IF('Tropical Sno'!$B65="TOTAL:","",(IF('Tropical Sno'!$B65="CODE","",IF('Tropical Sno'!$C65&gt;0,'Tropical Sno'!C65,"")))))</f>
        <v/>
      </c>
      <c r="E65" s="271" t="str">
        <f ca="1">IF(CELL("type",'Swan Parts'!$C65)&lt;&gt;"v","",IF('Swan Parts'!$B65="TOTAL:","",(IF('Swan Parts'!$B65="CODE","",IF('Swan Parts'!$C65&gt;0,'Swan Parts'!B65,"")))))</f>
        <v/>
      </c>
      <c r="F65" s="271" t="str">
        <f ca="1">IF(CELL("type",'Swan Parts'!$C65)&lt;&gt;"v","",IF('Swan Parts'!$B65="TOTAL:","",(IF('Swan Parts'!$B65="CODE","",IF('Swan Parts'!$C65&gt;0,'Swan Parts'!C65,"")))))</f>
        <v/>
      </c>
      <c r="H65" s="274"/>
      <c r="I65" s="274"/>
    </row>
    <row r="66" spans="2:9">
      <c r="B66" s="271" t="str">
        <f ca="1">IF(CELL("type",'Tropical Sno'!$C66)&lt;&gt;"v","",IF('Tropical Sno'!$B66="TOTAL:","",(IF('Tropical Sno'!$B66="CODE","",IF('Tropical Sno'!$C66&gt;0,'Tropical Sno'!B66,"")))))</f>
        <v/>
      </c>
      <c r="C66" s="271" t="str">
        <f ca="1">IF(CELL("type",'Tropical Sno'!$C66)&lt;&gt;"v","",IF('Tropical Sno'!$B66="TOTAL:","",(IF('Tropical Sno'!$B66="CODE","",IF('Tropical Sno'!$C66&gt;0,'Tropical Sno'!C66,"")))))</f>
        <v/>
      </c>
      <c r="E66" s="271" t="str">
        <f ca="1">IF(CELL("type",'Swan Parts'!$C66)&lt;&gt;"v","",IF('Swan Parts'!$B66="TOTAL:","",(IF('Swan Parts'!$B66="CODE","",IF('Swan Parts'!$C66&gt;0,'Swan Parts'!B66,"")))))</f>
        <v/>
      </c>
      <c r="F66" s="271" t="str">
        <f ca="1">IF(CELL("type",'Swan Parts'!$C66)&lt;&gt;"v","",IF('Swan Parts'!$B66="TOTAL:","",(IF('Swan Parts'!$B66="CODE","",IF('Swan Parts'!$C66&gt;0,'Swan Parts'!C66,"")))))</f>
        <v/>
      </c>
      <c r="H66" s="274"/>
      <c r="I66" s="274"/>
    </row>
    <row r="67" spans="2:9">
      <c r="B67" s="271" t="str">
        <f ca="1">IF(CELL("type",'Tropical Sno'!$C67)&lt;&gt;"v","",IF('Tropical Sno'!$B67="TOTAL:","",(IF('Tropical Sno'!$B67="CODE","",IF('Tropical Sno'!$C67&gt;0,'Tropical Sno'!B67,"")))))</f>
        <v/>
      </c>
      <c r="C67" s="271" t="str">
        <f ca="1">IF(CELL("type",'Tropical Sno'!$C67)&lt;&gt;"v","",IF('Tropical Sno'!$B67="TOTAL:","",(IF('Tropical Sno'!$B67="CODE","",IF('Tropical Sno'!$C67&gt;0,'Tropical Sno'!C67,"")))))</f>
        <v/>
      </c>
      <c r="E67" s="271" t="str">
        <f ca="1">IF(CELL("type",'Swan Parts'!$C67)&lt;&gt;"v","",IF('Swan Parts'!$B67="TOTAL:","",(IF('Swan Parts'!$B67="CODE","",IF('Swan Parts'!$C67&gt;0,'Swan Parts'!B67,"")))))</f>
        <v/>
      </c>
      <c r="F67" s="271" t="str">
        <f ca="1">IF(CELL("type",'Swan Parts'!$C67)&lt;&gt;"v","",IF('Swan Parts'!$B67="TOTAL:","",(IF('Swan Parts'!$B67="CODE","",IF('Swan Parts'!$C67&gt;0,'Swan Parts'!C67,"")))))</f>
        <v/>
      </c>
      <c r="H67" s="274"/>
      <c r="I67" s="274"/>
    </row>
    <row r="68" spans="2:9">
      <c r="B68" s="271" t="str">
        <f ca="1">IF(CELL("type",'Tropical Sno'!$C68)&lt;&gt;"v","",IF('Tropical Sno'!$B68="TOTAL:","",(IF('Tropical Sno'!$B68="CODE","",IF('Tropical Sno'!$C68&gt;0,'Tropical Sno'!B68,"")))))</f>
        <v/>
      </c>
      <c r="C68" s="271" t="str">
        <f ca="1">IF(CELL("type",'Tropical Sno'!$C68)&lt;&gt;"v","",IF('Tropical Sno'!$B68="TOTAL:","",(IF('Tropical Sno'!$B68="CODE","",IF('Tropical Sno'!$C68&gt;0,'Tropical Sno'!C68,"")))))</f>
        <v/>
      </c>
      <c r="E68" s="271" t="str">
        <f ca="1">IF(CELL("type",'Swan Parts'!$C68)&lt;&gt;"v","",IF('Swan Parts'!$B68="TOTAL:","",(IF('Swan Parts'!$B68="CODE","",IF('Swan Parts'!$C68&gt;0,'Swan Parts'!B68,"")))))</f>
        <v/>
      </c>
      <c r="F68" s="271" t="str">
        <f ca="1">IF(CELL("type",'Swan Parts'!$C68)&lt;&gt;"v","",IF('Swan Parts'!$B68="TOTAL:","",(IF('Swan Parts'!$B68="CODE","",IF('Swan Parts'!$C68&gt;0,'Swan Parts'!C68,"")))))</f>
        <v/>
      </c>
      <c r="H68" s="274"/>
      <c r="I68" s="274"/>
    </row>
    <row r="69" spans="2:9">
      <c r="B69" s="271" t="str">
        <f ca="1">IF(CELL("type",'Tropical Sno'!$C69)&lt;&gt;"v","",IF('Tropical Sno'!$B69="TOTAL:","",(IF('Tropical Sno'!$B69="CODE","",IF('Tropical Sno'!$C69&gt;0,'Tropical Sno'!B69,"")))))</f>
        <v/>
      </c>
      <c r="C69" s="271" t="str">
        <f ca="1">IF(CELL("type",'Tropical Sno'!$C69)&lt;&gt;"v","",IF('Tropical Sno'!$B69="TOTAL:","",(IF('Tropical Sno'!$B69="CODE","",IF('Tropical Sno'!$C69&gt;0,'Tropical Sno'!C69,"")))))</f>
        <v/>
      </c>
      <c r="E69" s="271" t="str">
        <f ca="1">IF(CELL("type",'Swan Parts'!$C69)&lt;&gt;"v","",IF('Swan Parts'!$B69="TOTAL:","",(IF('Swan Parts'!$B69="CODE","",IF('Swan Parts'!$C69&gt;0,'Swan Parts'!B69,"")))))</f>
        <v/>
      </c>
      <c r="F69" s="271" t="str">
        <f ca="1">IF(CELL("type",'Swan Parts'!$C69)&lt;&gt;"v","",IF('Swan Parts'!$B69="TOTAL:","",(IF('Swan Parts'!$B69="CODE","",IF('Swan Parts'!$C69&gt;0,'Swan Parts'!C69,"")))))</f>
        <v/>
      </c>
      <c r="H69" s="274"/>
      <c r="I69" s="274"/>
    </row>
    <row r="70" spans="2:9">
      <c r="B70" s="271" t="str">
        <f ca="1">IF(CELL("type",'Tropical Sno'!$C70)&lt;&gt;"v","",IF('Tropical Sno'!$B70="TOTAL:","",(IF('Tropical Sno'!$B70="CODE","",IF('Tropical Sno'!$C70&gt;0,'Tropical Sno'!B70,"")))))</f>
        <v/>
      </c>
      <c r="C70" s="271" t="str">
        <f ca="1">IF(CELL("type",'Tropical Sno'!$C70)&lt;&gt;"v","",IF('Tropical Sno'!$B70="TOTAL:","",(IF('Tropical Sno'!$B70="CODE","",IF('Tropical Sno'!$C70&gt;0,'Tropical Sno'!C70,"")))))</f>
        <v/>
      </c>
      <c r="E70" s="271" t="str">
        <f ca="1">IF(CELL("type",'Swan Parts'!$C70)&lt;&gt;"v","",IF('Swan Parts'!$B70="TOTAL:","",(IF('Swan Parts'!$B70="CODE","",IF('Swan Parts'!$C70&gt;0,'Swan Parts'!B70,"")))))</f>
        <v/>
      </c>
      <c r="F70" s="271" t="str">
        <f ca="1">IF(CELL("type",'Swan Parts'!$C70)&lt;&gt;"v","",IF('Swan Parts'!$B70="TOTAL:","",(IF('Swan Parts'!$B70="CODE","",IF('Swan Parts'!$C70&gt;0,'Swan Parts'!C70,"")))))</f>
        <v/>
      </c>
      <c r="H70" s="274"/>
      <c r="I70" s="274"/>
    </row>
    <row r="71" spans="2:9">
      <c r="B71" s="271" t="str">
        <f ca="1">IF(CELL("type",'Tropical Sno'!$C71)&lt;&gt;"v","",IF('Tropical Sno'!$B71="TOTAL:","",(IF('Tropical Sno'!$B71="CODE","",IF('Tropical Sno'!$C71&gt;0,'Tropical Sno'!B71,"")))))</f>
        <v/>
      </c>
      <c r="C71" s="271" t="str">
        <f ca="1">IF(CELL("type",'Tropical Sno'!$C71)&lt;&gt;"v","",IF('Tropical Sno'!$B71="TOTAL:","",(IF('Tropical Sno'!$B71="CODE","",IF('Tropical Sno'!$C71&gt;0,'Tropical Sno'!C71,"")))))</f>
        <v/>
      </c>
      <c r="E71" s="271" t="str">
        <f ca="1">IF(CELL("type",'Swan Parts'!$C71)&lt;&gt;"v","",IF('Swan Parts'!$B71="TOTAL:","",(IF('Swan Parts'!$B71="CODE","",IF('Swan Parts'!$C71&gt;0,'Swan Parts'!B71,"")))))</f>
        <v/>
      </c>
      <c r="F71" s="271" t="str">
        <f ca="1">IF(CELL("type",'Swan Parts'!$C71)&lt;&gt;"v","",IF('Swan Parts'!$B71="TOTAL:","",(IF('Swan Parts'!$B71="CODE","",IF('Swan Parts'!$C71&gt;0,'Swan Parts'!C71,"")))))</f>
        <v/>
      </c>
      <c r="H71" s="274"/>
      <c r="I71" s="274"/>
    </row>
    <row r="72" spans="2:9">
      <c r="B72" s="271" t="str">
        <f ca="1">IF(CELL("type",'Tropical Sno'!$C72)&lt;&gt;"v","",IF('Tropical Sno'!$B72="TOTAL:","",(IF('Tropical Sno'!$B72="CODE","",IF('Tropical Sno'!$C72&gt;0,'Tropical Sno'!B72,"")))))</f>
        <v/>
      </c>
      <c r="C72" s="271" t="str">
        <f ca="1">IF(CELL("type",'Tropical Sno'!$C72)&lt;&gt;"v","",IF('Tropical Sno'!$B72="TOTAL:","",(IF('Tropical Sno'!$B72="CODE","",IF('Tropical Sno'!$C72&gt;0,'Tropical Sno'!C72,"")))))</f>
        <v/>
      </c>
      <c r="E72" s="271" t="str">
        <f ca="1">IF(CELL("type",'Swan Parts'!$C72)&lt;&gt;"v","",IF('Swan Parts'!$B72="TOTAL:","",(IF('Swan Parts'!$B72="CODE","",IF('Swan Parts'!$C72&gt;0,'Swan Parts'!B72,"")))))</f>
        <v/>
      </c>
      <c r="F72" s="271" t="str">
        <f ca="1">IF(CELL("type",'Swan Parts'!$C72)&lt;&gt;"v","",IF('Swan Parts'!$B72="TOTAL:","",(IF('Swan Parts'!$B72="CODE","",IF('Swan Parts'!$C72&gt;0,'Swan Parts'!C72,"")))))</f>
        <v/>
      </c>
      <c r="H72" s="274"/>
      <c r="I72" s="274"/>
    </row>
    <row r="73" spans="2:9">
      <c r="B73" s="271" t="str">
        <f ca="1">IF(CELL("type",'Tropical Sno'!$C73)&lt;&gt;"v","",IF('Tropical Sno'!$B73="TOTAL:","",(IF('Tropical Sno'!$B73="CODE","",IF('Tropical Sno'!$C73&gt;0,'Tropical Sno'!B73,"")))))</f>
        <v/>
      </c>
      <c r="C73" s="271" t="str">
        <f ca="1">IF(CELL("type",'Tropical Sno'!$C73)&lt;&gt;"v","",IF('Tropical Sno'!$B73="TOTAL:","",(IF('Tropical Sno'!$B73="CODE","",IF('Tropical Sno'!$C73&gt;0,'Tropical Sno'!C73,"")))))</f>
        <v/>
      </c>
      <c r="E73" s="271" t="str">
        <f ca="1">IF(CELL("type",'Swan Parts'!$C73)&lt;&gt;"v","",IF('Swan Parts'!$B73="TOTAL:","",(IF('Swan Parts'!$B73="CODE","",IF('Swan Parts'!$C73&gt;0,'Swan Parts'!B73,"")))))</f>
        <v/>
      </c>
      <c r="F73" s="271" t="str">
        <f ca="1">IF(CELL("type",'Swan Parts'!$C73)&lt;&gt;"v","",IF('Swan Parts'!$B73="TOTAL:","",(IF('Swan Parts'!$B73="CODE","",IF('Swan Parts'!$C73&gt;0,'Swan Parts'!C73,"")))))</f>
        <v/>
      </c>
      <c r="H73" s="274"/>
      <c r="I73" s="274"/>
    </row>
    <row r="74" spans="2:9">
      <c r="B74" s="271" t="str">
        <f ca="1">IF(CELL("type",'Tropical Sno'!$C74)&lt;&gt;"v","",IF('Tropical Sno'!$B74="TOTAL:","",(IF('Tropical Sno'!$B74="CODE","",IF('Tropical Sno'!$C74&gt;0,'Tropical Sno'!B74,"")))))</f>
        <v/>
      </c>
      <c r="C74" s="271" t="str">
        <f ca="1">IF(CELL("type",'Tropical Sno'!$C74)&lt;&gt;"v","",IF('Tropical Sno'!$B74="TOTAL:","",(IF('Tropical Sno'!$B74="CODE","",IF('Tropical Sno'!$C74&gt;0,'Tropical Sno'!C74,"")))))</f>
        <v/>
      </c>
      <c r="E74" s="271" t="str">
        <f ca="1">IF(CELL("type",'Swan Parts'!$C74)&lt;&gt;"v","",IF('Swan Parts'!$B74="TOTAL:","",(IF('Swan Parts'!$B74="CODE","",IF('Swan Parts'!$C74&gt;0,'Swan Parts'!B74,"")))))</f>
        <v/>
      </c>
      <c r="F74" s="271" t="str">
        <f ca="1">IF(CELL("type",'Swan Parts'!$C74)&lt;&gt;"v","",IF('Swan Parts'!$B74="TOTAL:","",(IF('Swan Parts'!$B74="CODE","",IF('Swan Parts'!$C74&gt;0,'Swan Parts'!C74,"")))))</f>
        <v/>
      </c>
      <c r="H74" s="274"/>
      <c r="I74" s="274"/>
    </row>
    <row r="75" spans="2:9">
      <c r="B75" s="271" t="str">
        <f ca="1">IF(CELL("type",'Tropical Sno'!$C75)&lt;&gt;"v","",IF('Tropical Sno'!$B75="TOTAL:","",(IF('Tropical Sno'!$B75="CODE","",IF('Tropical Sno'!$C75&gt;0,'Tropical Sno'!B75,"")))))</f>
        <v/>
      </c>
      <c r="C75" s="271" t="str">
        <f ca="1">IF(CELL("type",'Tropical Sno'!$C75)&lt;&gt;"v","",IF('Tropical Sno'!$B75="TOTAL:","",(IF('Tropical Sno'!$B75="CODE","",IF('Tropical Sno'!$C75&gt;0,'Tropical Sno'!C75,"")))))</f>
        <v/>
      </c>
      <c r="E75" s="271" t="str">
        <f ca="1">IF(CELL("type",'Swan Parts'!$C75)&lt;&gt;"v","",IF('Swan Parts'!$B75="TOTAL:","",(IF('Swan Parts'!$B75="CODE","",IF('Swan Parts'!$C75&gt;0,'Swan Parts'!B75,"")))))</f>
        <v/>
      </c>
      <c r="F75" s="271" t="str">
        <f ca="1">IF(CELL("type",'Swan Parts'!$C75)&lt;&gt;"v","",IF('Swan Parts'!$B75="TOTAL:","",(IF('Swan Parts'!$B75="CODE","",IF('Swan Parts'!$C75&gt;0,'Swan Parts'!C75,"")))))</f>
        <v/>
      </c>
      <c r="H75" s="274"/>
      <c r="I75" s="274"/>
    </row>
    <row r="76" spans="2:9">
      <c r="B76" s="271" t="str">
        <f ca="1">IF(CELL("type",'Tropical Sno'!$C76)&lt;&gt;"v","",IF('Tropical Sno'!$B76="TOTAL:","",(IF('Tropical Sno'!$B76="CODE","",IF('Tropical Sno'!$C76&gt;0,'Tropical Sno'!B76,"")))))</f>
        <v/>
      </c>
      <c r="C76" s="271" t="str">
        <f ca="1">IF(CELL("type",'Tropical Sno'!$C76)&lt;&gt;"v","",IF('Tropical Sno'!$B76="TOTAL:","",(IF('Tropical Sno'!$B76="CODE","",IF('Tropical Sno'!$C76&gt;0,'Tropical Sno'!C76,"")))))</f>
        <v/>
      </c>
      <c r="E76" s="271" t="str">
        <f ca="1">IF(CELL("type",'Swan Parts'!$C76)&lt;&gt;"v","",IF('Swan Parts'!$B76="TOTAL:","",(IF('Swan Parts'!$B76="CODE","",IF('Swan Parts'!$C76&gt;0,'Swan Parts'!B76,"")))))</f>
        <v/>
      </c>
      <c r="F76" s="271" t="str">
        <f ca="1">IF(CELL("type",'Swan Parts'!$C76)&lt;&gt;"v","",IF('Swan Parts'!$B76="TOTAL:","",(IF('Swan Parts'!$B76="CODE","",IF('Swan Parts'!$C76&gt;0,'Swan Parts'!C76,"")))))</f>
        <v/>
      </c>
      <c r="H76" s="274"/>
      <c r="I76" s="274"/>
    </row>
    <row r="77" spans="2:9">
      <c r="B77" s="271" t="str">
        <f ca="1">IF(CELL("type",'Tropical Sno'!$C77)&lt;&gt;"v","",IF('Tropical Sno'!$B77="TOTAL:","",(IF('Tropical Sno'!$B77="CODE","",IF('Tropical Sno'!$C77&gt;0,'Tropical Sno'!B77,"")))))</f>
        <v/>
      </c>
      <c r="C77" s="271" t="str">
        <f ca="1">IF(CELL("type",'Tropical Sno'!$C77)&lt;&gt;"v","",IF('Tropical Sno'!$B77="TOTAL:","",(IF('Tropical Sno'!$B77="CODE","",IF('Tropical Sno'!$C77&gt;0,'Tropical Sno'!C77,"")))))</f>
        <v/>
      </c>
      <c r="E77" s="271" t="str">
        <f ca="1">IF(CELL("type",'Swan Parts'!$C77)&lt;&gt;"v","",IF('Swan Parts'!$B77="TOTAL:","",(IF('Swan Parts'!$B77="CODE","",IF('Swan Parts'!$C77&gt;0,'Swan Parts'!B77,"")))))</f>
        <v/>
      </c>
      <c r="F77" s="271" t="str">
        <f ca="1">IF(CELL("type",'Swan Parts'!$C77)&lt;&gt;"v","",IF('Swan Parts'!$B77="TOTAL:","",(IF('Swan Parts'!$B77="CODE","",IF('Swan Parts'!$C77&gt;0,'Swan Parts'!C77,"")))))</f>
        <v/>
      </c>
      <c r="H77" s="274"/>
      <c r="I77" s="274"/>
    </row>
    <row r="78" spans="2:9">
      <c r="B78" s="271" t="str">
        <f ca="1">IF(CELL("type",'Tropical Sno'!$C78)&lt;&gt;"v","",IF('Tropical Sno'!$B78="TOTAL:","",(IF('Tropical Sno'!$B78="CODE","",IF('Tropical Sno'!$C78&gt;0,'Tropical Sno'!B78,"")))))</f>
        <v/>
      </c>
      <c r="C78" s="271" t="str">
        <f ca="1">IF(CELL("type",'Tropical Sno'!$C78)&lt;&gt;"v","",IF('Tropical Sno'!$B78="TOTAL:","",(IF('Tropical Sno'!$B78="CODE","",IF('Tropical Sno'!$C78&gt;0,'Tropical Sno'!C78,"")))))</f>
        <v/>
      </c>
      <c r="E78" s="271" t="str">
        <f ca="1">IF(CELL("type",'Swan Parts'!$C78)&lt;&gt;"v","",IF('Swan Parts'!$B78="TOTAL:","",(IF('Swan Parts'!$B78="CODE","",IF('Swan Parts'!$C78&gt;0,'Swan Parts'!B78,"")))))</f>
        <v/>
      </c>
      <c r="F78" s="271" t="str">
        <f ca="1">IF(CELL("type",'Swan Parts'!$C78)&lt;&gt;"v","",IF('Swan Parts'!$B78="TOTAL:","",(IF('Swan Parts'!$B78="CODE","",IF('Swan Parts'!$C78&gt;0,'Swan Parts'!C78,"")))))</f>
        <v/>
      </c>
      <c r="H78" s="274"/>
      <c r="I78" s="274"/>
    </row>
    <row r="79" spans="2:9">
      <c r="B79" s="271" t="str">
        <f ca="1">IF(CELL("type",'Tropical Sno'!$C79)&lt;&gt;"v","",IF('Tropical Sno'!$B79="TOTAL:","",(IF('Tropical Sno'!$B79="CODE","",IF('Tropical Sno'!$C79&gt;0,'Tropical Sno'!B79,"")))))</f>
        <v/>
      </c>
      <c r="C79" s="271" t="str">
        <f ca="1">IF(CELL("type",'Tropical Sno'!$C79)&lt;&gt;"v","",IF('Tropical Sno'!$B79="TOTAL:","",(IF('Tropical Sno'!$B79="CODE","",IF('Tropical Sno'!$C79&gt;0,'Tropical Sno'!C79,"")))))</f>
        <v/>
      </c>
      <c r="E79" s="271" t="str">
        <f ca="1">IF(CELL("type",'Swan Parts'!$C79)&lt;&gt;"v","",IF('Swan Parts'!$B79="TOTAL:","",(IF('Swan Parts'!$B79="CODE","",IF('Swan Parts'!$C79&gt;0,'Swan Parts'!B79,"")))))</f>
        <v/>
      </c>
      <c r="F79" s="271" t="str">
        <f ca="1">IF(CELL("type",'Swan Parts'!$C79)&lt;&gt;"v","",IF('Swan Parts'!$B79="TOTAL:","",(IF('Swan Parts'!$B79="CODE","",IF('Swan Parts'!$C79&gt;0,'Swan Parts'!C79,"")))))</f>
        <v/>
      </c>
      <c r="H79" s="274"/>
      <c r="I79" s="274"/>
    </row>
    <row r="80" spans="2:9">
      <c r="B80" s="271" t="str">
        <f ca="1">IF(CELL("type",'Tropical Sno'!$C80)&lt;&gt;"v","",IF('Tropical Sno'!$B80="TOTAL:","",(IF('Tropical Sno'!$B80="CODE","",IF('Tropical Sno'!$C80&gt;0,'Tropical Sno'!B80,"")))))</f>
        <v/>
      </c>
      <c r="C80" s="271" t="str">
        <f ca="1">IF(CELL("type",'Tropical Sno'!$C80)&lt;&gt;"v","",IF('Tropical Sno'!$B80="TOTAL:","",(IF('Tropical Sno'!$B80="CODE","",IF('Tropical Sno'!$C80&gt;0,'Tropical Sno'!C80,"")))))</f>
        <v/>
      </c>
      <c r="E80" s="271" t="str">
        <f ca="1">IF(CELL("type",'Swan Parts'!$C80)&lt;&gt;"v","",IF('Swan Parts'!$B80="TOTAL:","",(IF('Swan Parts'!$B80="CODE","",IF('Swan Parts'!$C80&gt;0,'Swan Parts'!B80,"")))))</f>
        <v/>
      </c>
      <c r="F80" s="271" t="str">
        <f ca="1">IF(CELL("type",'Swan Parts'!$C80)&lt;&gt;"v","",IF('Swan Parts'!$B80="TOTAL:","",(IF('Swan Parts'!$B80="CODE","",IF('Swan Parts'!$C80&gt;0,'Swan Parts'!C80,"")))))</f>
        <v/>
      </c>
      <c r="H80" s="274"/>
      <c r="I80" s="274"/>
    </row>
    <row r="81" spans="2:9">
      <c r="B81" s="271" t="str">
        <f ca="1">IF(CELL("type",'Tropical Sno'!$C81)&lt;&gt;"v","",IF('Tropical Sno'!$B81="TOTAL:","",(IF('Tropical Sno'!$B81="CODE","",IF('Tropical Sno'!$C81&gt;0,'Tropical Sno'!B81,"")))))</f>
        <v/>
      </c>
      <c r="C81" s="271" t="str">
        <f ca="1">IF(CELL("type",'Tropical Sno'!$C81)&lt;&gt;"v","",IF('Tropical Sno'!$B81="TOTAL:","",(IF('Tropical Sno'!$B81="CODE","",IF('Tropical Sno'!$C81&gt;0,'Tropical Sno'!C81,"")))))</f>
        <v/>
      </c>
      <c r="E81" s="271" t="str">
        <f ca="1">IF(CELL("type",'Swan Parts'!$C81)&lt;&gt;"v","",IF('Swan Parts'!$B81="TOTAL:","",(IF('Swan Parts'!$B81="CODE","",IF('Swan Parts'!$C81&gt;0,'Swan Parts'!B81,"")))))</f>
        <v/>
      </c>
      <c r="F81" s="271" t="str">
        <f ca="1">IF(CELL("type",'Swan Parts'!$C81)&lt;&gt;"v","",IF('Swan Parts'!$B81="TOTAL:","",(IF('Swan Parts'!$B81="CODE","",IF('Swan Parts'!$C81&gt;0,'Swan Parts'!C81,"")))))</f>
        <v/>
      </c>
      <c r="H81" s="274"/>
      <c r="I81" s="274"/>
    </row>
    <row r="82" spans="2:9">
      <c r="B82" s="271" t="str">
        <f ca="1">IF(CELL("type",'Tropical Sno'!$C82)&lt;&gt;"v","",IF('Tropical Sno'!$B82="TOTAL:","",(IF('Tropical Sno'!$B82="CODE","",IF('Tropical Sno'!$C82&gt;0,'Tropical Sno'!B82,"")))))</f>
        <v/>
      </c>
      <c r="C82" s="271" t="str">
        <f ca="1">IF(CELL("type",'Tropical Sno'!$C82)&lt;&gt;"v","",IF('Tropical Sno'!$B82="TOTAL:","",(IF('Tropical Sno'!$B82="CODE","",IF('Tropical Sno'!$C82&gt;0,'Tropical Sno'!C82,"")))))</f>
        <v/>
      </c>
      <c r="E82" s="271" t="str">
        <f ca="1">IF(CELL("type",'Swan Parts'!$C82)&lt;&gt;"v","",IF('Swan Parts'!$B82="TOTAL:","",(IF('Swan Parts'!$B82="CODE","",IF('Swan Parts'!$C82&gt;0,'Swan Parts'!B82,"")))))</f>
        <v/>
      </c>
      <c r="F82" s="271" t="str">
        <f ca="1">IF(CELL("type",'Swan Parts'!$C82)&lt;&gt;"v","",IF('Swan Parts'!$B82="TOTAL:","",(IF('Swan Parts'!$B82="CODE","",IF('Swan Parts'!$C82&gt;0,'Swan Parts'!C82,"")))))</f>
        <v/>
      </c>
      <c r="H82" s="274"/>
      <c r="I82" s="274"/>
    </row>
    <row r="83" spans="2:9">
      <c r="B83" s="271" t="str">
        <f ca="1">IF(CELL("type",'Tropical Sno'!$C83)&lt;&gt;"v","",IF('Tropical Sno'!$B83="TOTAL:","",(IF('Tropical Sno'!$B83="CODE","",IF('Tropical Sno'!$C83&gt;0,'Tropical Sno'!B83,"")))))</f>
        <v/>
      </c>
      <c r="C83" s="271" t="str">
        <f ca="1">IF(CELL("type",'Tropical Sno'!$C83)&lt;&gt;"v","",IF('Tropical Sno'!$B83="TOTAL:","",(IF('Tropical Sno'!$B83="CODE","",IF('Tropical Sno'!$C83&gt;0,'Tropical Sno'!C83,"")))))</f>
        <v/>
      </c>
      <c r="E83" s="271" t="str">
        <f ca="1">IF(CELL("type",'Swan Parts'!$C83)&lt;&gt;"v","",IF('Swan Parts'!$B83="TOTAL:","",(IF('Swan Parts'!$B83="CODE","",IF('Swan Parts'!$C83&gt;0,'Swan Parts'!B83,"")))))</f>
        <v/>
      </c>
      <c r="F83" s="271" t="str">
        <f ca="1">IF(CELL("type",'Swan Parts'!$C83)&lt;&gt;"v","",IF('Swan Parts'!$B83="TOTAL:","",(IF('Swan Parts'!$B83="CODE","",IF('Swan Parts'!$C83&gt;0,'Swan Parts'!C83,"")))))</f>
        <v/>
      </c>
      <c r="H83" s="274"/>
      <c r="I83" s="274"/>
    </row>
    <row r="84" spans="2:9">
      <c r="B84" s="271" t="str">
        <f ca="1">IF(CELL("type",'Tropical Sno'!$C84)&lt;&gt;"v","",IF('Tropical Sno'!$B84="TOTAL:","",(IF('Tropical Sno'!$B84="CODE","",IF('Tropical Sno'!$C84&gt;0,'Tropical Sno'!B84,"")))))</f>
        <v/>
      </c>
      <c r="C84" s="271" t="str">
        <f ca="1">IF(CELL("type",'Tropical Sno'!$C84)&lt;&gt;"v","",IF('Tropical Sno'!$B84="TOTAL:","",(IF('Tropical Sno'!$B84="CODE","",IF('Tropical Sno'!$C84&gt;0,'Tropical Sno'!C84,"")))))</f>
        <v/>
      </c>
      <c r="E84" s="271" t="str">
        <f ca="1">IF(CELL("type",'Swan Parts'!$C84)&lt;&gt;"v","",IF('Swan Parts'!$B84="TOTAL:","",(IF('Swan Parts'!$B84="CODE","",IF('Swan Parts'!$C84&gt;0,'Swan Parts'!B84,"")))))</f>
        <v/>
      </c>
      <c r="F84" s="271" t="str">
        <f ca="1">IF(CELL("type",'Swan Parts'!$C84)&lt;&gt;"v","",IF('Swan Parts'!$B84="TOTAL:","",(IF('Swan Parts'!$B84="CODE","",IF('Swan Parts'!$C84&gt;0,'Swan Parts'!C84,"")))))</f>
        <v/>
      </c>
      <c r="H84" s="274"/>
      <c r="I84" s="274"/>
    </row>
    <row r="85" spans="2:9">
      <c r="B85" s="271" t="str">
        <f ca="1">IF(CELL("type",'Tropical Sno'!$C85)&lt;&gt;"v","",IF('Tropical Sno'!$B85="TOTAL:","",(IF('Tropical Sno'!$B85="CODE","",IF('Tropical Sno'!$C85&gt;0,'Tropical Sno'!B85,"")))))</f>
        <v/>
      </c>
      <c r="C85" s="271" t="str">
        <f ca="1">IF(CELL("type",'Tropical Sno'!$C85)&lt;&gt;"v","",IF('Tropical Sno'!$B85="TOTAL:","",(IF('Tropical Sno'!$B85="CODE","",IF('Tropical Sno'!$C85&gt;0,'Tropical Sno'!C85,"")))))</f>
        <v/>
      </c>
      <c r="E85" s="271" t="str">
        <f ca="1">IF(CELL("type",'Swan Parts'!$C85)&lt;&gt;"v","",IF('Swan Parts'!$B85="TOTAL:","",(IF('Swan Parts'!$B85="CODE","",IF('Swan Parts'!$C85&gt;0,'Swan Parts'!B85,"")))))</f>
        <v/>
      </c>
      <c r="F85" s="271" t="str">
        <f ca="1">IF(CELL("type",'Swan Parts'!$C85)&lt;&gt;"v","",IF('Swan Parts'!$B85="TOTAL:","",(IF('Swan Parts'!$B85="CODE","",IF('Swan Parts'!$C85&gt;0,'Swan Parts'!C85,"")))))</f>
        <v/>
      </c>
      <c r="H85" s="274"/>
      <c r="I85" s="274"/>
    </row>
    <row r="86" spans="2:9">
      <c r="B86" s="271" t="str">
        <f ca="1">IF(CELL("type",'Tropical Sno'!$C86)&lt;&gt;"v","",IF('Tropical Sno'!$B86="TOTAL:","",(IF('Tropical Sno'!$B86="CODE","",IF('Tropical Sno'!$C86&gt;0,'Tropical Sno'!B86,"")))))</f>
        <v/>
      </c>
      <c r="C86" s="271" t="str">
        <f ca="1">IF(CELL("type",'Tropical Sno'!$C86)&lt;&gt;"v","",IF('Tropical Sno'!$B86="TOTAL:","",(IF('Tropical Sno'!$B86="CODE","",IF('Tropical Sno'!$C86&gt;0,'Tropical Sno'!C86,"")))))</f>
        <v/>
      </c>
      <c r="E86" s="271" t="str">
        <f ca="1">IF(CELL("type",'Swan Parts'!$C86)&lt;&gt;"v","",IF('Swan Parts'!$B86="TOTAL:","",(IF('Swan Parts'!$B86="CODE","",IF('Swan Parts'!$C86&gt;0,'Swan Parts'!B86,"")))))</f>
        <v/>
      </c>
      <c r="F86" s="271" t="str">
        <f ca="1">IF(CELL("type",'Swan Parts'!$C86)&lt;&gt;"v","",IF('Swan Parts'!$B86="TOTAL:","",(IF('Swan Parts'!$B86="CODE","",IF('Swan Parts'!$C86&gt;0,'Swan Parts'!C86,"")))))</f>
        <v/>
      </c>
      <c r="H86" s="274"/>
      <c r="I86" s="274"/>
    </row>
    <row r="87" spans="2:9">
      <c r="B87" s="271" t="str">
        <f ca="1">IF(CELL("type",'Tropical Sno'!$C87)&lt;&gt;"v","",IF('Tropical Sno'!$B87="TOTAL:","",(IF('Tropical Sno'!$B87="CODE","",IF('Tropical Sno'!$C87&gt;0,'Tropical Sno'!B87,"")))))</f>
        <v/>
      </c>
      <c r="C87" s="271" t="str">
        <f ca="1">IF(CELL("type",'Tropical Sno'!$C87)&lt;&gt;"v","",IF('Tropical Sno'!$B87="TOTAL:","",(IF('Tropical Sno'!$B87="CODE","",IF('Tropical Sno'!$C87&gt;0,'Tropical Sno'!C87,"")))))</f>
        <v/>
      </c>
      <c r="E87" s="271" t="str">
        <f ca="1">IF(CELL("type",'Swan Parts'!$C87)&lt;&gt;"v","",IF('Swan Parts'!$B87="TOTAL:","",(IF('Swan Parts'!$B87="CODE","",IF('Swan Parts'!$C87&gt;0,'Swan Parts'!B87,"")))))</f>
        <v/>
      </c>
      <c r="F87" s="271" t="str">
        <f ca="1">IF(CELL("type",'Swan Parts'!$C87)&lt;&gt;"v","",IF('Swan Parts'!$B87="TOTAL:","",(IF('Swan Parts'!$B87="CODE","",IF('Swan Parts'!$C87&gt;0,'Swan Parts'!C87,"")))))</f>
        <v/>
      </c>
      <c r="H87" s="274"/>
      <c r="I87" s="274"/>
    </row>
    <row r="88" spans="2:9">
      <c r="B88" s="271" t="str">
        <f ca="1">IF(CELL("type",'Tropical Sno'!$C88)&lt;&gt;"v","",IF('Tropical Sno'!$B88="TOTAL:","",(IF('Tropical Sno'!$B88="CODE","",IF('Tropical Sno'!$C88&gt;0,'Tropical Sno'!B88,"")))))</f>
        <v/>
      </c>
      <c r="C88" s="271" t="str">
        <f ca="1">IF(CELL("type",'Tropical Sno'!$C88)&lt;&gt;"v","",IF('Tropical Sno'!$B88="TOTAL:","",(IF('Tropical Sno'!$B88="CODE","",IF('Tropical Sno'!$C88&gt;0,'Tropical Sno'!C88,"")))))</f>
        <v/>
      </c>
      <c r="E88" s="271" t="str">
        <f ca="1">IF(CELL("type",'Swan Parts'!$C88)&lt;&gt;"v","",IF('Swan Parts'!$B88="TOTAL:","",(IF('Swan Parts'!$B88="CODE","",IF('Swan Parts'!$C88&gt;0,'Swan Parts'!B88,"")))))</f>
        <v/>
      </c>
      <c r="F88" s="271" t="str">
        <f ca="1">IF(CELL("type",'Swan Parts'!$C88)&lt;&gt;"v","",IF('Swan Parts'!$B88="TOTAL:","",(IF('Swan Parts'!$B88="CODE","",IF('Swan Parts'!$C88&gt;0,'Swan Parts'!C88,"")))))</f>
        <v/>
      </c>
      <c r="H88" s="274"/>
      <c r="I88" s="274"/>
    </row>
    <row r="89" spans="2:9">
      <c r="B89" s="271" t="str">
        <f ca="1">IF(CELL("type",'Tropical Sno'!$C89)&lt;&gt;"v","",IF('Tropical Sno'!$B89="TOTAL:","",(IF('Tropical Sno'!$B89="CODE","",IF('Tropical Sno'!$C89&gt;0,'Tropical Sno'!B89,"")))))</f>
        <v/>
      </c>
      <c r="C89" s="271" t="str">
        <f ca="1">IF(CELL("type",'Tropical Sno'!$C89)&lt;&gt;"v","",IF('Tropical Sno'!$B89="TOTAL:","",(IF('Tropical Sno'!$B89="CODE","",IF('Tropical Sno'!$C89&gt;0,'Tropical Sno'!C89,"")))))</f>
        <v/>
      </c>
      <c r="E89" s="271" t="str">
        <f ca="1">IF(CELL("type",'Swan Parts'!$C89)&lt;&gt;"v","",IF('Swan Parts'!$B89="TOTAL:","",(IF('Swan Parts'!$B89="CODE","",IF('Swan Parts'!$C89&gt;0,'Swan Parts'!B89,"")))))</f>
        <v/>
      </c>
      <c r="F89" s="271" t="str">
        <f ca="1">IF(CELL("type",'Swan Parts'!$C89)&lt;&gt;"v","",IF('Swan Parts'!$B89="TOTAL:","",(IF('Swan Parts'!$B89="CODE","",IF('Swan Parts'!$C89&gt;0,'Swan Parts'!C89,"")))))</f>
        <v/>
      </c>
      <c r="H89" s="274"/>
      <c r="I89" s="274"/>
    </row>
    <row r="90" spans="2:9">
      <c r="B90" s="271" t="str">
        <f ca="1">IF(CELL("type",'Tropical Sno'!$C90)&lt;&gt;"v","",IF('Tropical Sno'!$B90="TOTAL:","",(IF('Tropical Sno'!$B90="CODE","",IF('Tropical Sno'!$C90&gt;0,'Tropical Sno'!B90,"")))))</f>
        <v/>
      </c>
      <c r="C90" s="271" t="str">
        <f ca="1">IF(CELL("type",'Tropical Sno'!$C90)&lt;&gt;"v","",IF('Tropical Sno'!$B90="TOTAL:","",(IF('Tropical Sno'!$B90="CODE","",IF('Tropical Sno'!$C90&gt;0,'Tropical Sno'!C90,"")))))</f>
        <v/>
      </c>
      <c r="E90" s="271" t="str">
        <f ca="1">IF(CELL("type",'Swan Parts'!$C90)&lt;&gt;"v","",IF('Swan Parts'!$B90="TOTAL:","",(IF('Swan Parts'!$B90="CODE","",IF('Swan Parts'!$C90&gt;0,'Swan Parts'!B90,"")))))</f>
        <v/>
      </c>
      <c r="F90" s="271" t="str">
        <f ca="1">IF(CELL("type",'Swan Parts'!$C90)&lt;&gt;"v","",IF('Swan Parts'!$B90="TOTAL:","",(IF('Swan Parts'!$B90="CODE","",IF('Swan Parts'!$C90&gt;0,'Swan Parts'!C90,"")))))</f>
        <v/>
      </c>
      <c r="H90" s="274"/>
      <c r="I90" s="274"/>
    </row>
    <row r="91" spans="2:9">
      <c r="B91" s="271" t="str">
        <f ca="1">IF(CELL("type",'Tropical Sno'!$C91)&lt;&gt;"v","",IF('Tropical Sno'!$B91="TOTAL:","",(IF('Tropical Sno'!$B91="CODE","",IF('Tropical Sno'!$C91&gt;0,'Tropical Sno'!B91,"")))))</f>
        <v/>
      </c>
      <c r="C91" s="271" t="str">
        <f ca="1">IF(CELL("type",'Tropical Sno'!$C91)&lt;&gt;"v","",IF('Tropical Sno'!$B91="TOTAL:","",(IF('Tropical Sno'!$B91="CODE","",IF('Tropical Sno'!$C91&gt;0,'Tropical Sno'!C91,"")))))</f>
        <v/>
      </c>
      <c r="E91" s="271" t="str">
        <f ca="1">IF(CELL("type",'Swan Parts'!$C91)&lt;&gt;"v","",IF('Swan Parts'!$B91="TOTAL:","",(IF('Swan Parts'!$B91="CODE","",IF('Swan Parts'!$C91&gt;0,'Swan Parts'!B91,"")))))</f>
        <v/>
      </c>
      <c r="F91" s="271" t="str">
        <f ca="1">IF(CELL("type",'Swan Parts'!$C91)&lt;&gt;"v","",IF('Swan Parts'!$B91="TOTAL:","",(IF('Swan Parts'!$B91="CODE","",IF('Swan Parts'!$C91&gt;0,'Swan Parts'!C91,"")))))</f>
        <v/>
      </c>
      <c r="H91" s="274"/>
      <c r="I91" s="274"/>
    </row>
    <row r="92" spans="2:9">
      <c r="B92" s="271" t="str">
        <f ca="1">IF(CELL("type",'Tropical Sno'!$C92)&lt;&gt;"v","",IF('Tropical Sno'!$B92="TOTAL:","",(IF('Tropical Sno'!$B92="CODE","",IF('Tropical Sno'!$C92&gt;0,'Tropical Sno'!B92,"")))))</f>
        <v/>
      </c>
      <c r="C92" s="271" t="str">
        <f ca="1">IF(CELL("type",'Tropical Sno'!$C92)&lt;&gt;"v","",IF('Tropical Sno'!$B92="TOTAL:","",(IF('Tropical Sno'!$B92="CODE","",IF('Tropical Sno'!$C92&gt;0,'Tropical Sno'!C92,"")))))</f>
        <v/>
      </c>
      <c r="E92" s="271" t="str">
        <f ca="1">IF(CELL("type",'Swan Parts'!$C92)&lt;&gt;"v","",IF('Swan Parts'!$B92="TOTAL:","",(IF('Swan Parts'!$B92="CODE","",IF('Swan Parts'!$C92&gt;0,'Swan Parts'!B92,"")))))</f>
        <v/>
      </c>
      <c r="F92" s="271" t="str">
        <f ca="1">IF(CELL("type",'Swan Parts'!$C92)&lt;&gt;"v","",IF('Swan Parts'!$B92="TOTAL:","",(IF('Swan Parts'!$B92="CODE","",IF('Swan Parts'!$C92&gt;0,'Swan Parts'!C92,"")))))</f>
        <v/>
      </c>
      <c r="H92" s="274"/>
      <c r="I92" s="274"/>
    </row>
    <row r="93" spans="2:9">
      <c r="B93" s="271" t="str">
        <f ca="1">IF(CELL("type",'Tropical Sno'!$C93)&lt;&gt;"v","",IF('Tropical Sno'!$B93="TOTAL:","",(IF('Tropical Sno'!$B93="CODE","",IF('Tropical Sno'!$C93&gt;0,'Tropical Sno'!B93,"")))))</f>
        <v/>
      </c>
      <c r="C93" s="271" t="str">
        <f ca="1">IF(CELL("type",'Tropical Sno'!$C93)&lt;&gt;"v","",IF('Tropical Sno'!$B93="TOTAL:","",(IF('Tropical Sno'!$B93="CODE","",IF('Tropical Sno'!$C93&gt;0,'Tropical Sno'!C93,"")))))</f>
        <v/>
      </c>
      <c r="E93" s="271" t="str">
        <f ca="1">IF(CELL("type",'Swan Parts'!$C93)&lt;&gt;"v","",IF('Swan Parts'!$B93="TOTAL:","",(IF('Swan Parts'!$B93="CODE","",IF('Swan Parts'!$C93&gt;0,'Swan Parts'!B93,"")))))</f>
        <v/>
      </c>
      <c r="F93" s="271" t="str">
        <f ca="1">IF(CELL("type",'Swan Parts'!$C93)&lt;&gt;"v","",IF('Swan Parts'!$B93="TOTAL:","",(IF('Swan Parts'!$B93="CODE","",IF('Swan Parts'!$C93&gt;0,'Swan Parts'!C93,"")))))</f>
        <v/>
      </c>
    </row>
    <row r="94" spans="2:9">
      <c r="B94" s="271" t="str">
        <f ca="1">IF(CELL("type",'Tropical Sno'!$C94)&lt;&gt;"v","",IF('Tropical Sno'!$B94="TOTAL:","",(IF('Tropical Sno'!$B94="CODE","",IF('Tropical Sno'!$C94&gt;0,'Tropical Sno'!B94,"")))))</f>
        <v/>
      </c>
      <c r="C94" s="271" t="str">
        <f ca="1">IF(CELL("type",'Tropical Sno'!$C94)&lt;&gt;"v","",IF('Tropical Sno'!$B94="TOTAL:","",(IF('Tropical Sno'!$B94="CODE","",IF('Tropical Sno'!$C94&gt;0,'Tropical Sno'!C94,"")))))</f>
        <v/>
      </c>
      <c r="E94" s="271" t="str">
        <f ca="1">IF(CELL("type",'Swan Parts'!$C94)&lt;&gt;"v","",IF('Swan Parts'!$B94="TOTAL:","",(IF('Swan Parts'!$B94="CODE","",IF('Swan Parts'!$C94&gt;0,'Swan Parts'!B94,"")))))</f>
        <v/>
      </c>
      <c r="F94" s="271" t="str">
        <f ca="1">IF(CELL("type",'Swan Parts'!$C94)&lt;&gt;"v","",IF('Swan Parts'!$B94="TOTAL:","",(IF('Swan Parts'!$B94="CODE","",IF('Swan Parts'!$C94&gt;0,'Swan Parts'!C94,"")))))</f>
        <v/>
      </c>
    </row>
    <row r="95" spans="2:9">
      <c r="B95" s="271" t="str">
        <f ca="1">IF(CELL("type",'Tropical Sno'!$C95)&lt;&gt;"v","",IF('Tropical Sno'!$B95="TOTAL:","",(IF('Tropical Sno'!$B95="CODE","",IF('Tropical Sno'!$C95&gt;0,'Tropical Sno'!B95,"")))))</f>
        <v/>
      </c>
      <c r="C95" s="271" t="str">
        <f ca="1">IF(CELL("type",'Tropical Sno'!$C95)&lt;&gt;"v","",IF('Tropical Sno'!$B95="TOTAL:","",(IF('Tropical Sno'!$B95="CODE","",IF('Tropical Sno'!$C95&gt;0,'Tropical Sno'!C95,"")))))</f>
        <v/>
      </c>
      <c r="E95" s="271" t="str">
        <f ca="1">IF(CELL("type",'Swan Parts'!$C95)&lt;&gt;"v","",IF('Swan Parts'!$B95="TOTAL:","",(IF('Swan Parts'!$B95="CODE","",IF('Swan Parts'!$C95&gt;0,'Swan Parts'!B95,"")))))</f>
        <v/>
      </c>
      <c r="F95" s="271" t="str">
        <f ca="1">IF(CELL("type",'Swan Parts'!$C95)&lt;&gt;"v","",IF('Swan Parts'!$B95="TOTAL:","",(IF('Swan Parts'!$B95="CODE","",IF('Swan Parts'!$C95&gt;0,'Swan Parts'!C95,"")))))</f>
        <v/>
      </c>
    </row>
    <row r="96" spans="2:9">
      <c r="B96" s="271" t="str">
        <f ca="1">IF(CELL("type",'Tropical Sno'!$C96)&lt;&gt;"v","",IF('Tropical Sno'!$B96="TOTAL:","",(IF('Tropical Sno'!$B96="CODE","",IF('Tropical Sno'!$C96&gt;0,'Tropical Sno'!B96,"")))))</f>
        <v/>
      </c>
      <c r="C96" s="271" t="str">
        <f ca="1">IF(CELL("type",'Tropical Sno'!$C96)&lt;&gt;"v","",IF('Tropical Sno'!$B96="TOTAL:","",(IF('Tropical Sno'!$B96="CODE","",IF('Tropical Sno'!$C96&gt;0,'Tropical Sno'!C96,"")))))</f>
        <v/>
      </c>
      <c r="E96" s="272"/>
      <c r="F96" s="272"/>
    </row>
    <row r="97" spans="2:6">
      <c r="B97" s="271" t="str">
        <f ca="1">IF(CELL("type",'Tropical Sno'!$C97)&lt;&gt;"v","",IF('Tropical Sno'!$B97="TOTAL:","",(IF('Tropical Sno'!$B97="CODE","",IF('Tropical Sno'!$C97&gt;0,'Tropical Sno'!B97,"")))))</f>
        <v/>
      </c>
      <c r="C97" s="271" t="str">
        <f ca="1">IF(CELL("type",'Tropical Sno'!$C97)&lt;&gt;"v","",IF('Tropical Sno'!$B97="TOTAL:","",(IF('Tropical Sno'!$B97="CODE","",IF('Tropical Sno'!$C97&gt;0,'Tropical Sno'!C97,"")))))</f>
        <v/>
      </c>
      <c r="E97" s="277" t="s">
        <v>457</v>
      </c>
      <c r="F97" s="275">
        <f ca="1">SUM(F6:F96)</f>
        <v>0</v>
      </c>
    </row>
    <row r="98" spans="2:6">
      <c r="B98" s="271" t="str">
        <f ca="1">IF(CELL("type",'Tropical Sno'!$C98)&lt;&gt;"v","",IF('Tropical Sno'!$B98="TOTAL:","",(IF('Tropical Sno'!$B98="CODE","",IF('Tropical Sno'!$C98&gt;0,'Tropical Sno'!B98,"")))))</f>
        <v/>
      </c>
      <c r="C98" s="271" t="str">
        <f ca="1">IF(CELL("type",'Tropical Sno'!$C98)&lt;&gt;"v","",IF('Tropical Sno'!$B98="TOTAL:","",(IF('Tropical Sno'!$B98="CODE","",IF('Tropical Sno'!$C98&gt;0,'Tropical Sno'!C98,"")))))</f>
        <v/>
      </c>
    </row>
    <row r="99" spans="2:6">
      <c r="B99" s="271" t="str">
        <f ca="1">IF(CELL("type",'Tropical Sno'!$C99)&lt;&gt;"v","",IF('Tropical Sno'!$B99="TOTAL:","",(IF('Tropical Sno'!$B99="CODE","",IF('Tropical Sno'!$C99&gt;0,'Tropical Sno'!B99,"")))))</f>
        <v/>
      </c>
      <c r="C99" s="271" t="str">
        <f ca="1">IF(CELL("type",'Tropical Sno'!$C99)&lt;&gt;"v","",IF('Tropical Sno'!$B99="TOTAL:","",(IF('Tropical Sno'!$B99="CODE","",IF('Tropical Sno'!$C99&gt;0,'Tropical Sno'!C99,"")))))</f>
        <v/>
      </c>
      <c r="E99" s="274"/>
      <c r="F99" s="274"/>
    </row>
    <row r="100" spans="2:6">
      <c r="B100" s="271" t="str">
        <f ca="1">IF(CELL("type",'Tropical Sno'!$C100)&lt;&gt;"v","",IF('Tropical Sno'!$B100="TOTAL:","",(IF('Tropical Sno'!$B100="CODE","",IF('Tropical Sno'!$C100&gt;0,'Tropical Sno'!B100,"")))))</f>
        <v/>
      </c>
      <c r="C100" s="271" t="str">
        <f ca="1">IF(CELL("type",'Tropical Sno'!$C100)&lt;&gt;"v","",IF('Tropical Sno'!$B100="TOTAL:","",(IF('Tropical Sno'!$B100="CODE","",IF('Tropical Sno'!$C100&gt;0,'Tropical Sno'!C100,"")))))</f>
        <v/>
      </c>
      <c r="E100" s="274"/>
      <c r="F100" s="274"/>
    </row>
    <row r="101" spans="2:6">
      <c r="B101" s="271" t="str">
        <f ca="1">IF(CELL("type",'Tropical Sno'!$C101)&lt;&gt;"v","",IF('Tropical Sno'!$B101="TOTAL:","",(IF('Tropical Sno'!$B101="CODE","",IF('Tropical Sno'!$C101&gt;0,'Tropical Sno'!B101,"")))))</f>
        <v/>
      </c>
      <c r="C101" s="271" t="str">
        <f ca="1">IF(CELL("type",'Tropical Sno'!$C101)&lt;&gt;"v","",IF('Tropical Sno'!$B101="TOTAL:","",(IF('Tropical Sno'!$B101="CODE","",IF('Tropical Sno'!$C101&gt;0,'Tropical Sno'!C101,"")))))</f>
        <v/>
      </c>
      <c r="E101" s="274"/>
      <c r="F101" s="274"/>
    </row>
    <row r="102" spans="2:6">
      <c r="B102" s="271" t="str">
        <f ca="1">IF(CELL("type",'Tropical Sno'!$C102)&lt;&gt;"v","",IF('Tropical Sno'!$B102="TOTAL:","",(IF('Tropical Sno'!$B102="CODE","",IF('Tropical Sno'!$C102&gt;0,'Tropical Sno'!B102,"")))))</f>
        <v/>
      </c>
      <c r="C102" s="271" t="str">
        <f ca="1">IF(CELL("type",'Tropical Sno'!$C102)&lt;&gt;"v","",IF('Tropical Sno'!$B102="TOTAL:","",(IF('Tropical Sno'!$B102="CODE","",IF('Tropical Sno'!$C102&gt;0,'Tropical Sno'!C102,"")))))</f>
        <v/>
      </c>
      <c r="E102" s="274"/>
      <c r="F102" s="274"/>
    </row>
    <row r="103" spans="2:6">
      <c r="B103" s="271" t="str">
        <f ca="1">IF(CELL("type",'Tropical Sno'!$C103)&lt;&gt;"v","",IF('Tropical Sno'!$B103="TOTAL:","",(IF('Tropical Sno'!$B103="CODE","",IF('Tropical Sno'!$C103&gt;0,'Tropical Sno'!B103,"")))))</f>
        <v/>
      </c>
      <c r="C103" s="271" t="str">
        <f ca="1">IF(CELL("type",'Tropical Sno'!$C103)&lt;&gt;"v","",IF('Tropical Sno'!$B103="TOTAL:","",(IF('Tropical Sno'!$B103="CODE","",IF('Tropical Sno'!$C103&gt;0,'Tropical Sno'!C103,"")))))</f>
        <v/>
      </c>
      <c r="E103" s="274"/>
      <c r="F103" s="274"/>
    </row>
    <row r="104" spans="2:6">
      <c r="B104" s="271" t="str">
        <f ca="1">IF(CELL("type",'Tropical Sno'!$C104)&lt;&gt;"v","",IF('Tropical Sno'!$B104="TOTAL:","",(IF('Tropical Sno'!$B104="CODE","",IF('Tropical Sno'!$C104&gt;0,'Tropical Sno'!B104,"")))))</f>
        <v/>
      </c>
      <c r="C104" s="271" t="str">
        <f ca="1">IF(CELL("type",'Tropical Sno'!$C104)&lt;&gt;"v","",IF('Tropical Sno'!$B104="TOTAL:","",(IF('Tropical Sno'!$B104="CODE","",IF('Tropical Sno'!$C104&gt;0,'Tropical Sno'!C104,"")))))</f>
        <v/>
      </c>
      <c r="E104" s="274"/>
      <c r="F104" s="274"/>
    </row>
    <row r="105" spans="2:6">
      <c r="B105" s="271" t="str">
        <f ca="1">IF(CELL("type",'Tropical Sno'!$C105)&lt;&gt;"v","",IF('Tropical Sno'!$B105="TOTAL:","",(IF('Tropical Sno'!$B105="CODE","",IF('Tropical Sno'!$C105&gt;0,'Tropical Sno'!B105,"")))))</f>
        <v/>
      </c>
      <c r="C105" s="271" t="str">
        <f ca="1">IF(CELL("type",'Tropical Sno'!$C105)&lt;&gt;"v","",IF('Tropical Sno'!$B105="TOTAL:","",(IF('Tropical Sno'!$B105="CODE","",IF('Tropical Sno'!$C105&gt;0,'Tropical Sno'!C105,"")))))</f>
        <v/>
      </c>
      <c r="E105" s="274"/>
      <c r="F105" s="274"/>
    </row>
    <row r="106" spans="2:6">
      <c r="B106" s="271" t="str">
        <f ca="1">IF(CELL("type",'Tropical Sno'!$C106)&lt;&gt;"v","",IF('Tropical Sno'!$B106="TOTAL:","",(IF('Tropical Sno'!$B106="CODE","",IF('Tropical Sno'!$C106&gt;0,'Tropical Sno'!B106,"")))))</f>
        <v/>
      </c>
      <c r="C106" s="271" t="str">
        <f ca="1">IF(CELL("type",'Tropical Sno'!$C106)&lt;&gt;"v","",IF('Tropical Sno'!$B106="TOTAL:","",(IF('Tropical Sno'!$B106="CODE","",IF('Tropical Sno'!$C106&gt;0,'Tropical Sno'!C106,"")))))</f>
        <v/>
      </c>
      <c r="E106" s="274"/>
      <c r="F106" s="274"/>
    </row>
    <row r="107" spans="2:6">
      <c r="B107" s="271" t="str">
        <f ca="1">IF(CELL("type",'Tropical Sno'!$C107)&lt;&gt;"v","",IF('Tropical Sno'!$B107="TOTAL:","",(IF('Tropical Sno'!$B107="CODE","",IF('Tropical Sno'!$C107&gt;0,'Tropical Sno'!B107,"")))))</f>
        <v/>
      </c>
      <c r="C107" s="271" t="str">
        <f ca="1">IF(CELL("type",'Tropical Sno'!$C107)&lt;&gt;"v","",IF('Tropical Sno'!$B107="TOTAL:","",(IF('Tropical Sno'!$B107="CODE","",IF('Tropical Sno'!$C107&gt;0,'Tropical Sno'!C107,"")))))</f>
        <v/>
      </c>
      <c r="E107" s="274"/>
      <c r="F107" s="274"/>
    </row>
    <row r="108" spans="2:6">
      <c r="B108" s="271" t="str">
        <f ca="1">IF(CELL("type",'Tropical Sno'!$C108)&lt;&gt;"v","",IF('Tropical Sno'!$B108="TOTAL:","",(IF('Tropical Sno'!$B108="CODE","",IF('Tropical Sno'!$C108&gt;0,'Tropical Sno'!B108,"")))))</f>
        <v/>
      </c>
      <c r="C108" s="271" t="str">
        <f ca="1">IF(CELL("type",'Tropical Sno'!$C108)&lt;&gt;"v","",IF('Tropical Sno'!$B108="TOTAL:","",(IF('Tropical Sno'!$B108="CODE","",IF('Tropical Sno'!$C108&gt;0,'Tropical Sno'!C108,"")))))</f>
        <v/>
      </c>
      <c r="E108" s="274"/>
      <c r="F108" s="274"/>
    </row>
    <row r="109" spans="2:6">
      <c r="B109" s="271" t="str">
        <f ca="1">IF(CELL("type",'Tropical Sno'!$C109)&lt;&gt;"v","",IF('Tropical Sno'!$B109="TOTAL:","",(IF('Tropical Sno'!$B109="CODE","",IF('Tropical Sno'!$C109&gt;0,'Tropical Sno'!B109,"")))))</f>
        <v/>
      </c>
      <c r="C109" s="271" t="str">
        <f ca="1">IF(CELL("type",'Tropical Sno'!$C109)&lt;&gt;"v","",IF('Tropical Sno'!$B109="TOTAL:","",(IF('Tropical Sno'!$B109="CODE","",IF('Tropical Sno'!$C109&gt;0,'Tropical Sno'!C109,"")))))</f>
        <v/>
      </c>
      <c r="E109" s="274"/>
      <c r="F109" s="274"/>
    </row>
    <row r="110" spans="2:6">
      <c r="B110" s="271" t="str">
        <f ca="1">IF(CELL("type",'Tropical Sno'!$C110)&lt;&gt;"v","",IF('Tropical Sno'!$B110="TOTAL:","",(IF('Tropical Sno'!$B110="CODE","",IF('Tropical Sno'!$C110&gt;0,'Tropical Sno'!B110,"")))))</f>
        <v/>
      </c>
      <c r="C110" s="271" t="str">
        <f ca="1">IF(CELL("type",'Tropical Sno'!$C110)&lt;&gt;"v","",IF('Tropical Sno'!$B110="TOTAL:","",(IF('Tropical Sno'!$B110="CODE","",IF('Tropical Sno'!$C110&gt;0,'Tropical Sno'!C110,"")))))</f>
        <v/>
      </c>
      <c r="E110" s="274"/>
      <c r="F110" s="274"/>
    </row>
    <row r="111" spans="2:6">
      <c r="B111" s="271" t="str">
        <f ca="1">IF(CELL("type",'Tropical Sno'!$C111)&lt;&gt;"v","",IF('Tropical Sno'!$B111="TOTAL:","",(IF('Tropical Sno'!$B111="CODE","",IF('Tropical Sno'!$C111&gt;0,'Tropical Sno'!B111,"")))))</f>
        <v/>
      </c>
      <c r="C111" s="271" t="str">
        <f ca="1">IF(CELL("type",'Tropical Sno'!$C111)&lt;&gt;"v","",IF('Tropical Sno'!$B111="TOTAL:","",(IF('Tropical Sno'!$B111="CODE","",IF('Tropical Sno'!$C111&gt;0,'Tropical Sno'!C111,"")))))</f>
        <v/>
      </c>
      <c r="E111" s="274"/>
      <c r="F111" s="274"/>
    </row>
    <row r="112" spans="2:6">
      <c r="B112" s="271" t="str">
        <f ca="1">IF(CELL("type",'Tropical Sno'!$C112)&lt;&gt;"v","",IF('Tropical Sno'!$B112="TOTAL:","",(IF('Tropical Sno'!$B112="CODE","",IF('Tropical Sno'!$C112&gt;0,'Tropical Sno'!B112,"")))))</f>
        <v/>
      </c>
      <c r="C112" s="271" t="str">
        <f ca="1">IF(CELL("type",'Tropical Sno'!$C112)&lt;&gt;"v","",IF('Tropical Sno'!$B112="TOTAL:","",(IF('Tropical Sno'!$B112="CODE","",IF('Tropical Sno'!$C112&gt;0,'Tropical Sno'!C112,"")))))</f>
        <v/>
      </c>
      <c r="E112" s="274"/>
      <c r="F112" s="274"/>
    </row>
    <row r="113" spans="2:6">
      <c r="B113" s="271" t="str">
        <f ca="1">IF(CELL("type",'Tropical Sno'!$C113)&lt;&gt;"v","",IF('Tropical Sno'!$B113="TOTAL:","",(IF('Tropical Sno'!$B113="CODE","",IF('Tropical Sno'!$C113&gt;0,'Tropical Sno'!B113,"")))))</f>
        <v/>
      </c>
      <c r="C113" s="271" t="str">
        <f ca="1">IF(CELL("type",'Tropical Sno'!$C113)&lt;&gt;"v","",IF('Tropical Sno'!$B113="TOTAL:","",(IF('Tropical Sno'!$B113="CODE","",IF('Tropical Sno'!$C113&gt;0,'Tropical Sno'!C113,"")))))</f>
        <v/>
      </c>
      <c r="E113" s="274"/>
      <c r="F113" s="274"/>
    </row>
    <row r="114" spans="2:6">
      <c r="B114" s="271" t="str">
        <f ca="1">IF(CELL("type",'Tropical Sno'!$C114)&lt;&gt;"v","",IF('Tropical Sno'!$B114="TOTAL:","",(IF('Tropical Sno'!$B114="CODE","",IF('Tropical Sno'!$C114&gt;0,'Tropical Sno'!B114,"")))))</f>
        <v/>
      </c>
      <c r="C114" s="271" t="str">
        <f ca="1">IF(CELL("type",'Tropical Sno'!$C114)&lt;&gt;"v","",IF('Tropical Sno'!$B114="TOTAL:","",(IF('Tropical Sno'!$B114="CODE","",IF('Tropical Sno'!$C114&gt;0,'Tropical Sno'!C114,"")))))</f>
        <v/>
      </c>
      <c r="E114" s="274"/>
      <c r="F114" s="274"/>
    </row>
    <row r="115" spans="2:6">
      <c r="B115" s="271" t="str">
        <f ca="1">IF(CELL("type",'Tropical Sno'!$C115)&lt;&gt;"v","",IF('Tropical Sno'!$B115="TOTAL:","",(IF('Tropical Sno'!$B115="CODE","",IF('Tropical Sno'!$C115&gt;0,'Tropical Sno'!B115,"")))))</f>
        <v/>
      </c>
      <c r="C115" s="271" t="str">
        <f ca="1">IF(CELL("type",'Tropical Sno'!$C115)&lt;&gt;"v","",IF('Tropical Sno'!$B115="TOTAL:","",(IF('Tropical Sno'!$B115="CODE","",IF('Tropical Sno'!$C115&gt;0,'Tropical Sno'!C115,"")))))</f>
        <v/>
      </c>
      <c r="E115" s="274"/>
      <c r="F115" s="274"/>
    </row>
    <row r="116" spans="2:6">
      <c r="B116" s="271" t="str">
        <f ca="1">IF(CELL("type",'Tropical Sno'!$C116)&lt;&gt;"v","",IF('Tropical Sno'!$B116="TOTAL:","",(IF('Tropical Sno'!$B116="CODE","",IF('Tropical Sno'!$C116&gt;0,'Tropical Sno'!B116,"")))))</f>
        <v/>
      </c>
      <c r="C116" s="271" t="str">
        <f ca="1">IF(CELL("type",'Tropical Sno'!$C116)&lt;&gt;"v","",IF('Tropical Sno'!$B116="TOTAL:","",(IF('Tropical Sno'!$B116="CODE","",IF('Tropical Sno'!$C116&gt;0,'Tropical Sno'!C116,"")))))</f>
        <v/>
      </c>
      <c r="E116" s="274"/>
      <c r="F116" s="274"/>
    </row>
    <row r="117" spans="2:6">
      <c r="B117" s="271" t="str">
        <f ca="1">IF(CELL("type",'Tropical Sno'!$C117)&lt;&gt;"v","",IF('Tropical Sno'!$B117="TOTAL:","",(IF('Tropical Sno'!$B117="CODE","",IF('Tropical Sno'!$C117&gt;0,'Tropical Sno'!B117,"")))))</f>
        <v/>
      </c>
      <c r="C117" s="271" t="str">
        <f ca="1">IF(CELL("type",'Tropical Sno'!$C117)&lt;&gt;"v","",IF('Tropical Sno'!$B117="TOTAL:","",(IF('Tropical Sno'!$B117="CODE","",IF('Tropical Sno'!$C117&gt;0,'Tropical Sno'!C117,"")))))</f>
        <v/>
      </c>
      <c r="E117" s="274"/>
      <c r="F117" s="274"/>
    </row>
    <row r="118" spans="2:6">
      <c r="B118" s="271" t="str">
        <f ca="1">IF(CELL("type",'Tropical Sno'!$C118)&lt;&gt;"v","",IF('Tropical Sno'!$B118="TOTAL:","",(IF('Tropical Sno'!$B118="CODE","",IF('Tropical Sno'!$C118&gt;0,'Tropical Sno'!B118,"")))))</f>
        <v/>
      </c>
      <c r="C118" s="271" t="str">
        <f ca="1">IF(CELL("type",'Tropical Sno'!$C118)&lt;&gt;"v","",IF('Tropical Sno'!$B118="TOTAL:","",(IF('Tropical Sno'!$B118="CODE","",IF('Tropical Sno'!$C118&gt;0,'Tropical Sno'!C118,"")))))</f>
        <v/>
      </c>
      <c r="E118" s="274"/>
      <c r="F118" s="274"/>
    </row>
    <row r="119" spans="2:6">
      <c r="B119" s="271" t="str">
        <f ca="1">IF(CELL("type",'Tropical Sno'!$C119)&lt;&gt;"v","",IF('Tropical Sno'!$B119="TOTAL:","",(IF('Tropical Sno'!$B119="CODE","",IF('Tropical Sno'!$C119&gt;0,'Tropical Sno'!B119,"")))))</f>
        <v/>
      </c>
      <c r="C119" s="271" t="str">
        <f ca="1">IF(CELL("type",'Tropical Sno'!$C119)&lt;&gt;"v","",IF('Tropical Sno'!$B119="TOTAL:","",(IF('Tropical Sno'!$B119="CODE","",IF('Tropical Sno'!$C119&gt;0,'Tropical Sno'!C119,"")))))</f>
        <v/>
      </c>
      <c r="E119" s="274"/>
      <c r="F119" s="274"/>
    </row>
    <row r="120" spans="2:6">
      <c r="B120" s="271" t="str">
        <f ca="1">IF(CELL("type",'Tropical Sno'!$C120)&lt;&gt;"v","",IF('Tropical Sno'!$B120="TOTAL:","",(IF('Tropical Sno'!$B120="CODE","",IF('Tropical Sno'!$C120&gt;0,'Tropical Sno'!B120,"")))))</f>
        <v/>
      </c>
      <c r="C120" s="271" t="str">
        <f ca="1">IF(CELL("type",'Tropical Sno'!$C120)&lt;&gt;"v","",IF('Tropical Sno'!$B120="TOTAL:","",(IF('Tropical Sno'!$B120="CODE","",IF('Tropical Sno'!$C120&gt;0,'Tropical Sno'!C120,"")))))</f>
        <v/>
      </c>
      <c r="E120" s="274"/>
      <c r="F120" s="274"/>
    </row>
    <row r="121" spans="2:6">
      <c r="B121" s="271" t="str">
        <f ca="1">IF(CELL("type",'Tropical Sno'!$C121)&lt;&gt;"v","",IF('Tropical Sno'!$B121="TOTAL:","",(IF('Tropical Sno'!$B121="CODE","",IF('Tropical Sno'!$C121&gt;0,'Tropical Sno'!B121,"")))))</f>
        <v/>
      </c>
      <c r="C121" s="271" t="str">
        <f ca="1">IF(CELL("type",'Tropical Sno'!$C121)&lt;&gt;"v","",IF('Tropical Sno'!$B121="TOTAL:","",(IF('Tropical Sno'!$B121="CODE","",IF('Tropical Sno'!$C121&gt;0,'Tropical Sno'!C121,"")))))</f>
        <v/>
      </c>
      <c r="E121" s="274"/>
      <c r="F121" s="274"/>
    </row>
    <row r="122" spans="2:6">
      <c r="B122" s="271" t="str">
        <f ca="1">IF(CELL("type",'Tropical Sno'!$C122)&lt;&gt;"v","",IF('Tropical Sno'!$B122="TOTAL:","",(IF('Tropical Sno'!$B122="CODE","",IF('Tropical Sno'!$C122&gt;0,'Tropical Sno'!B122,"")))))</f>
        <v/>
      </c>
      <c r="C122" s="271" t="str">
        <f ca="1">IF(CELL("type",'Tropical Sno'!$C122)&lt;&gt;"v","",IF('Tropical Sno'!$B122="TOTAL:","",(IF('Tropical Sno'!$B122="CODE","",IF('Tropical Sno'!$C122&gt;0,'Tropical Sno'!C122,"")))))</f>
        <v/>
      </c>
      <c r="E122" s="274"/>
      <c r="F122" s="274"/>
    </row>
    <row r="123" spans="2:6">
      <c r="B123" s="271" t="str">
        <f ca="1">IF(CELL("type",'Tropical Sno'!$C123)&lt;&gt;"v","",IF('Tropical Sno'!$B123="TOTAL:","",(IF('Tropical Sno'!$B123="CODE","",IF('Tropical Sno'!$C123&gt;0,'Tropical Sno'!B123,"")))))</f>
        <v/>
      </c>
      <c r="C123" s="271" t="str">
        <f ca="1">IF(CELL("type",'Tropical Sno'!$C123)&lt;&gt;"v","",IF('Tropical Sno'!$B123="TOTAL:","",(IF('Tropical Sno'!$B123="CODE","",IF('Tropical Sno'!$C123&gt;0,'Tropical Sno'!C123,"")))))</f>
        <v/>
      </c>
      <c r="E123" s="274"/>
      <c r="F123" s="274"/>
    </row>
    <row r="124" spans="2:6">
      <c r="B124" s="271" t="str">
        <f ca="1">IF(CELL("type",'Tropical Sno'!$C124)&lt;&gt;"v","",IF('Tropical Sno'!$B124="TOTAL:","",(IF('Tropical Sno'!$B124="CODE","",IF('Tropical Sno'!$C124&gt;0,'Tropical Sno'!B124,"")))))</f>
        <v/>
      </c>
      <c r="C124" s="271" t="str">
        <f ca="1">IF(CELL("type",'Tropical Sno'!$C124)&lt;&gt;"v","",IF('Tropical Sno'!$B124="TOTAL:","",(IF('Tropical Sno'!$B124="CODE","",IF('Tropical Sno'!$C124&gt;0,'Tropical Sno'!C124,"")))))</f>
        <v/>
      </c>
      <c r="E124" s="274"/>
      <c r="F124" s="274"/>
    </row>
    <row r="125" spans="2:6">
      <c r="B125" s="271" t="str">
        <f ca="1">IF(CELL("type",'Tropical Sno'!$C125)&lt;&gt;"v","",IF('Tropical Sno'!$B125="TOTAL:","",(IF('Tropical Sno'!$B125="CODE","",IF('Tropical Sno'!$C125&gt;0,'Tropical Sno'!B125,"")))))</f>
        <v/>
      </c>
      <c r="C125" s="271" t="str">
        <f ca="1">IF(CELL("type",'Tropical Sno'!$C125)&lt;&gt;"v","",IF('Tropical Sno'!$B125="TOTAL:","",(IF('Tropical Sno'!$B125="CODE","",IF('Tropical Sno'!$C125&gt;0,'Tropical Sno'!C125,"")))))</f>
        <v/>
      </c>
      <c r="E125" s="274"/>
      <c r="F125" s="274"/>
    </row>
    <row r="126" spans="2:6">
      <c r="B126" s="271" t="str">
        <f ca="1">IF(CELL("type",'Tropical Sno'!$C126)&lt;&gt;"v","",IF('Tropical Sno'!$B126="TOTAL:","",(IF('Tropical Sno'!$B126="CODE","",IF('Tropical Sno'!$C126&gt;0,'Tropical Sno'!B126,"")))))</f>
        <v/>
      </c>
      <c r="C126" s="271" t="str">
        <f ca="1">IF(CELL("type",'Tropical Sno'!$C126)&lt;&gt;"v","",IF('Tropical Sno'!$B126="TOTAL:","",(IF('Tropical Sno'!$B126="CODE","",IF('Tropical Sno'!$C126&gt;0,'Tropical Sno'!C126,"")))))</f>
        <v/>
      </c>
      <c r="E126" s="274"/>
      <c r="F126" s="274"/>
    </row>
    <row r="127" spans="2:6">
      <c r="B127" s="271" t="str">
        <f ca="1">IF(CELL("type",'Tropical Sno'!$C127)&lt;&gt;"v","",IF('Tropical Sno'!$B127="TOTAL:","",(IF('Tropical Sno'!$B127="CODE","",IF('Tropical Sno'!$C127&gt;0,'Tropical Sno'!B127,"")))))</f>
        <v/>
      </c>
      <c r="C127" s="271" t="str">
        <f ca="1">IF(CELL("type",'Tropical Sno'!$C127)&lt;&gt;"v","",IF('Tropical Sno'!$B127="TOTAL:","",(IF('Tropical Sno'!$B127="CODE","",IF('Tropical Sno'!$C127&gt;0,'Tropical Sno'!C127,"")))))</f>
        <v/>
      </c>
      <c r="E127" s="274"/>
      <c r="F127" s="274"/>
    </row>
    <row r="128" spans="2:6">
      <c r="B128" s="271" t="str">
        <f ca="1">IF(CELL("type",'Tropical Sno'!$C128)&lt;&gt;"v","",IF('Tropical Sno'!$B128="TOTAL:","",(IF('Tropical Sno'!$B128="CODE","",IF('Tropical Sno'!$C128&gt;0,'Tropical Sno'!B128,"")))))</f>
        <v/>
      </c>
      <c r="C128" s="271" t="str">
        <f ca="1">IF(CELL("type",'Tropical Sno'!$C128)&lt;&gt;"v","",IF('Tropical Sno'!$B128="TOTAL:","",(IF('Tropical Sno'!$B128="CODE","",IF('Tropical Sno'!$C128&gt;0,'Tropical Sno'!C128,"")))))</f>
        <v/>
      </c>
      <c r="E128" s="274"/>
      <c r="F128" s="274"/>
    </row>
    <row r="129" spans="2:6">
      <c r="B129" s="271" t="str">
        <f ca="1">IF(CELL("type",'Tropical Sno'!$C129)&lt;&gt;"v","",IF('Tropical Sno'!$B129="TOTAL:","",(IF('Tropical Sno'!$B129="CODE","",IF('Tropical Sno'!$C129&gt;0,'Tropical Sno'!B129,"")))))</f>
        <v/>
      </c>
      <c r="C129" s="271" t="str">
        <f ca="1">IF(CELL("type",'Tropical Sno'!$C129)&lt;&gt;"v","",IF('Tropical Sno'!$B129="TOTAL:","",(IF('Tropical Sno'!$B129="CODE","",IF('Tropical Sno'!$C129&gt;0,'Tropical Sno'!C129,"")))))</f>
        <v/>
      </c>
      <c r="E129" s="274"/>
      <c r="F129" s="274"/>
    </row>
    <row r="130" spans="2:6">
      <c r="B130" s="271" t="str">
        <f ca="1">IF(CELL("type",'Tropical Sno'!$C130)&lt;&gt;"v","",IF('Tropical Sno'!$B130="TOTAL:","",(IF('Tropical Sno'!$B130="CODE","",IF('Tropical Sno'!$C130&gt;0,'Tropical Sno'!B130,"")))))</f>
        <v/>
      </c>
      <c r="C130" s="271" t="str">
        <f ca="1">IF(CELL("type",'Tropical Sno'!$C130)&lt;&gt;"v","",IF('Tropical Sno'!$B130="TOTAL:","",(IF('Tropical Sno'!$B130="CODE","",IF('Tropical Sno'!$C130&gt;0,'Tropical Sno'!C130,"")))))</f>
        <v/>
      </c>
      <c r="E130" s="274"/>
      <c r="F130" s="274"/>
    </row>
    <row r="131" spans="2:6">
      <c r="B131" s="271" t="str">
        <f ca="1">IF(CELL("type",'Tropical Sno'!$C131)&lt;&gt;"v","",IF('Tropical Sno'!$B131="TOTAL:","",(IF('Tropical Sno'!$B131="CODE","",IF('Tropical Sno'!$C131&gt;0,'Tropical Sno'!B131,"")))))</f>
        <v/>
      </c>
      <c r="C131" s="271" t="str">
        <f ca="1">IF(CELL("type",'Tropical Sno'!$C131)&lt;&gt;"v","",IF('Tropical Sno'!$B131="TOTAL:","",(IF('Tropical Sno'!$B131="CODE","",IF('Tropical Sno'!$C131&gt;0,'Tropical Sno'!C131,"")))))</f>
        <v/>
      </c>
      <c r="E131" s="274"/>
      <c r="F131" s="274"/>
    </row>
    <row r="132" spans="2:6">
      <c r="B132" s="271" t="str">
        <f ca="1">IF(CELL("type",'Tropical Sno'!$C132)&lt;&gt;"v","",IF('Tropical Sno'!$B132="TOTAL:","",(IF('Tropical Sno'!$B132="CODE","",IF('Tropical Sno'!$C132&gt;0,'Tropical Sno'!B132,"")))))</f>
        <v/>
      </c>
      <c r="C132" s="271" t="str">
        <f ca="1">IF(CELL("type",'Tropical Sno'!$C132)&lt;&gt;"v","",IF('Tropical Sno'!$B132="TOTAL:","",(IF('Tropical Sno'!$B132="CODE","",IF('Tropical Sno'!$C132&gt;0,'Tropical Sno'!C132,"")))))</f>
        <v/>
      </c>
      <c r="E132" s="274"/>
      <c r="F132" s="274"/>
    </row>
    <row r="133" spans="2:6">
      <c r="B133" s="271" t="str">
        <f ca="1">IF(CELL("type",'Tropical Sno'!$C133)&lt;&gt;"v","",IF('Tropical Sno'!$B133="TOTAL:","",(IF('Tropical Sno'!$B133="CODE","",IF('Tropical Sno'!$C133&gt;0,'Tropical Sno'!B133,"")))))</f>
        <v/>
      </c>
      <c r="C133" s="271" t="str">
        <f ca="1">IF(CELL("type",'Tropical Sno'!$C133)&lt;&gt;"v","",IF('Tropical Sno'!$B133="TOTAL:","",(IF('Tropical Sno'!$B133="CODE","",IF('Tropical Sno'!$C133&gt;0,'Tropical Sno'!C133,"")))))</f>
        <v/>
      </c>
      <c r="E133" s="274"/>
      <c r="F133" s="274"/>
    </row>
    <row r="134" spans="2:6">
      <c r="B134" s="271" t="str">
        <f ca="1">IF(CELL("type",'Tropical Sno'!$C134)&lt;&gt;"v","",IF('Tropical Sno'!$B134="TOTAL:","",(IF('Tropical Sno'!$B134="CODE","",IF('Tropical Sno'!$C134&gt;0,'Tropical Sno'!B134,"")))))</f>
        <v/>
      </c>
      <c r="C134" s="271" t="str">
        <f ca="1">IF(CELL("type",'Tropical Sno'!$C134)&lt;&gt;"v","",IF('Tropical Sno'!$B134="TOTAL:","",(IF('Tropical Sno'!$B134="CODE","",IF('Tropical Sno'!$C134&gt;0,'Tropical Sno'!C134,"")))))</f>
        <v/>
      </c>
      <c r="E134" s="274"/>
      <c r="F134" s="274"/>
    </row>
    <row r="135" spans="2:6">
      <c r="B135" s="271" t="str">
        <f ca="1">IF(CELL("type",'Tropical Sno'!$C135)&lt;&gt;"v","",IF('Tropical Sno'!$B135="TOTAL:","",(IF('Tropical Sno'!$B135="CODE","",IF('Tropical Sno'!$C135&gt;0,'Tropical Sno'!B135,"")))))</f>
        <v/>
      </c>
      <c r="C135" s="271" t="str">
        <f ca="1">IF(CELL("type",'Tropical Sno'!$C135)&lt;&gt;"v","",IF('Tropical Sno'!$B135="TOTAL:","",(IF('Tropical Sno'!$B135="CODE","",IF('Tropical Sno'!$C135&gt;0,'Tropical Sno'!C135,"")))))</f>
        <v/>
      </c>
      <c r="E135" s="274"/>
      <c r="F135" s="274"/>
    </row>
    <row r="136" spans="2:6">
      <c r="B136" s="271" t="str">
        <f ca="1">IF(CELL("type",'Tropical Sno'!$C136)&lt;&gt;"v","",IF('Tropical Sno'!$B136="TOTAL:","",(IF('Tropical Sno'!$B136="CODE","",IF('Tropical Sno'!$C136&gt;0,'Tropical Sno'!B136,"")))))</f>
        <v/>
      </c>
      <c r="C136" s="271" t="str">
        <f ca="1">IF(CELL("type",'Tropical Sno'!$C136)&lt;&gt;"v","",IF('Tropical Sno'!$B136="TOTAL:","",(IF('Tropical Sno'!$B136="CODE","",IF('Tropical Sno'!$C136&gt;0,'Tropical Sno'!C136,"")))))</f>
        <v/>
      </c>
      <c r="E136" s="274"/>
      <c r="F136" s="274"/>
    </row>
    <row r="137" spans="2:6">
      <c r="B137" s="271" t="str">
        <f ca="1">IF(CELL("type",'Tropical Sno'!$C137)&lt;&gt;"v","",IF('Tropical Sno'!$B137="TOTAL:","",(IF('Tropical Sno'!$B137="CODE","",IF('Tropical Sno'!$C137&gt;0,'Tropical Sno'!B137,"")))))</f>
        <v/>
      </c>
      <c r="C137" s="271" t="str">
        <f ca="1">IF(CELL("type",'Tropical Sno'!$C137)&lt;&gt;"v","",IF('Tropical Sno'!$B137="TOTAL:","",(IF('Tropical Sno'!$B137="CODE","",IF('Tropical Sno'!$C137&gt;0,'Tropical Sno'!C137,"")))))</f>
        <v/>
      </c>
      <c r="E137" s="274"/>
      <c r="F137" s="274"/>
    </row>
    <row r="138" spans="2:6">
      <c r="B138" s="271" t="str">
        <f ca="1">IF(CELL("type",'Tropical Sno'!$C138)&lt;&gt;"v","",IF('Tropical Sno'!$B138="TOTAL:","",(IF('Tropical Sno'!$B138="CODE","",IF('Tropical Sno'!$C138&gt;0,'Tropical Sno'!B138,"")))))</f>
        <v/>
      </c>
      <c r="C138" s="271" t="str">
        <f ca="1">IF(CELL("type",'Tropical Sno'!$C138)&lt;&gt;"v","",IF('Tropical Sno'!$B138="TOTAL:","",(IF('Tropical Sno'!$B138="CODE","",IF('Tropical Sno'!$C138&gt;0,'Tropical Sno'!C138,"")))))</f>
        <v/>
      </c>
      <c r="E138" s="274"/>
      <c r="F138" s="274"/>
    </row>
    <row r="139" spans="2:6">
      <c r="B139" s="271" t="str">
        <f ca="1">IF(CELL("type",'Tropical Sno'!$C139)&lt;&gt;"v","",IF('Tropical Sno'!$B139="TOTAL:","",(IF('Tropical Sno'!$B139="CODE","",IF('Tropical Sno'!$C139&gt;0,'Tropical Sno'!B139,"")))))</f>
        <v/>
      </c>
      <c r="C139" s="271" t="str">
        <f ca="1">IF(CELL("type",'Tropical Sno'!$C139)&lt;&gt;"v","",IF('Tropical Sno'!$B139="TOTAL:","",(IF('Tropical Sno'!$B139="CODE","",IF('Tropical Sno'!$C139&gt;0,'Tropical Sno'!C139,"")))))</f>
        <v/>
      </c>
      <c r="E139" s="274"/>
      <c r="F139" s="274"/>
    </row>
    <row r="140" spans="2:6">
      <c r="B140" s="271" t="str">
        <f ca="1">IF(CELL("type",'Tropical Sno'!$C140)&lt;&gt;"v","",IF('Tropical Sno'!$B140="TOTAL:","",(IF('Tropical Sno'!$B140="CODE","",IF('Tropical Sno'!$C140&gt;0,'Tropical Sno'!B140,"")))))</f>
        <v/>
      </c>
      <c r="C140" s="271" t="str">
        <f ca="1">IF(CELL("type",'Tropical Sno'!$C140)&lt;&gt;"v","",IF('Tropical Sno'!$B140="TOTAL:","",(IF('Tropical Sno'!$B140="CODE","",IF('Tropical Sno'!$C140&gt;0,'Tropical Sno'!C140,"")))))</f>
        <v/>
      </c>
      <c r="E140" s="274"/>
      <c r="F140" s="274"/>
    </row>
    <row r="141" spans="2:6">
      <c r="B141" s="271" t="str">
        <f ca="1">IF(CELL("type",'Tropical Sno'!$C141)&lt;&gt;"v","",IF('Tropical Sno'!$B141="TOTAL:","",(IF('Tropical Sno'!$B141="CODE","",IF('Tropical Sno'!$C141&gt;0,'Tropical Sno'!B141,"")))))</f>
        <v/>
      </c>
      <c r="C141" s="271" t="str">
        <f ca="1">IF(CELL("type",'Tropical Sno'!$C141)&lt;&gt;"v","",IF('Tropical Sno'!$B141="TOTAL:","",(IF('Tropical Sno'!$B141="CODE","",IF('Tropical Sno'!$C141&gt;0,'Tropical Sno'!C141,"")))))</f>
        <v/>
      </c>
      <c r="E141" s="274"/>
      <c r="F141" s="274"/>
    </row>
    <row r="142" spans="2:6">
      <c r="B142" s="271" t="str">
        <f ca="1">IF(CELL("type",'Tropical Sno'!$C142)&lt;&gt;"v","",IF('Tropical Sno'!$B142="TOTAL:","",(IF('Tropical Sno'!$B142="CODE","",IF('Tropical Sno'!$C142&gt;0,'Tropical Sno'!B142,"")))))</f>
        <v/>
      </c>
      <c r="C142" s="271" t="str">
        <f ca="1">IF(CELL("type",'Tropical Sno'!$C142)&lt;&gt;"v","",IF('Tropical Sno'!$B142="TOTAL:","",(IF('Tropical Sno'!$B142="CODE","",IF('Tropical Sno'!$C142&gt;0,'Tropical Sno'!C142,"")))))</f>
        <v/>
      </c>
      <c r="E142" s="274"/>
      <c r="F142" s="274"/>
    </row>
    <row r="143" spans="2:6">
      <c r="B143" s="271" t="str">
        <f ca="1">IF(CELL("type",'Tropical Sno'!$C143)&lt;&gt;"v","",IF('Tropical Sno'!$B143="TOTAL:","",(IF('Tropical Sno'!$B143="CODE","",IF('Tropical Sno'!$C143&gt;0,'Tropical Sno'!B143,"")))))</f>
        <v/>
      </c>
      <c r="C143" s="271" t="str">
        <f ca="1">IF(CELL("type",'Tropical Sno'!$C143)&lt;&gt;"v","",IF('Tropical Sno'!$B143="TOTAL:","",(IF('Tropical Sno'!$B143="CODE","",IF('Tropical Sno'!$C143&gt;0,'Tropical Sno'!C143,"")))))</f>
        <v/>
      </c>
      <c r="E143" s="274"/>
      <c r="F143" s="274"/>
    </row>
    <row r="144" spans="2:6">
      <c r="B144" s="271" t="str">
        <f ca="1">IF(CELL("type",'Tropical Sno'!$C144)&lt;&gt;"v","",IF('Tropical Sno'!$B144="TOTAL:","",(IF('Tropical Sno'!$B144="CODE","",IF('Tropical Sno'!$C144&gt;0,'Tropical Sno'!B144,"")))))</f>
        <v/>
      </c>
      <c r="C144" s="271" t="str">
        <f ca="1">IF(CELL("type",'Tropical Sno'!$C144)&lt;&gt;"v","",IF('Tropical Sno'!$B144="TOTAL:","",(IF('Tropical Sno'!$B144="CODE","",IF('Tropical Sno'!$C144&gt;0,'Tropical Sno'!C144,"")))))</f>
        <v/>
      </c>
      <c r="E144" s="274"/>
      <c r="F144" s="274"/>
    </row>
    <row r="145" spans="2:6">
      <c r="B145" s="271" t="str">
        <f ca="1">IF(CELL("type",'Tropical Sno'!$C145)&lt;&gt;"v","",IF('Tropical Sno'!$B145="TOTAL:","",(IF('Tropical Sno'!$B145="CODE","",IF('Tropical Sno'!$C145&gt;0,'Tropical Sno'!B145,"")))))</f>
        <v/>
      </c>
      <c r="C145" s="271" t="str">
        <f ca="1">IF(CELL("type",'Tropical Sno'!$C145)&lt;&gt;"v","",IF('Tropical Sno'!$B145="TOTAL:","",(IF('Tropical Sno'!$B145="CODE","",IF('Tropical Sno'!$C145&gt;0,'Tropical Sno'!C145,"")))))</f>
        <v/>
      </c>
      <c r="E145" s="274"/>
      <c r="F145" s="274"/>
    </row>
    <row r="146" spans="2:6">
      <c r="B146" s="271" t="str">
        <f ca="1">IF(CELL("type",'Tropical Sno'!$C146)&lt;&gt;"v","",IF('Tropical Sno'!$B146="TOTAL:","",(IF('Tropical Sno'!$B146="CODE","",IF('Tropical Sno'!$C146&gt;0,'Tropical Sno'!B146,"")))))</f>
        <v/>
      </c>
      <c r="C146" s="271" t="str">
        <f ca="1">IF(CELL("type",'Tropical Sno'!$C146)&lt;&gt;"v","",IF('Tropical Sno'!$B146="TOTAL:","",(IF('Tropical Sno'!$B146="CODE","",IF('Tropical Sno'!$C146&gt;0,'Tropical Sno'!C146,"")))))</f>
        <v/>
      </c>
      <c r="E146" s="274"/>
      <c r="F146" s="274"/>
    </row>
    <row r="147" spans="2:6">
      <c r="B147" s="271" t="str">
        <f ca="1">IF(CELL("type",'Tropical Sno'!$C147)&lt;&gt;"v","",IF('Tropical Sno'!$B147="TOTAL:","",(IF('Tropical Sno'!$B147="CODE","",IF('Tropical Sno'!$C147&gt;0,'Tropical Sno'!B147,"")))))</f>
        <v/>
      </c>
      <c r="C147" s="271" t="str">
        <f ca="1">IF(CELL("type",'Tropical Sno'!$C147)&lt;&gt;"v","",IF('Tropical Sno'!$B147="TOTAL:","",(IF('Tropical Sno'!$B147="CODE","",IF('Tropical Sno'!$C147&gt;0,'Tropical Sno'!C147,"")))))</f>
        <v/>
      </c>
      <c r="E147" s="274"/>
      <c r="F147" s="274"/>
    </row>
    <row r="148" spans="2:6">
      <c r="B148" s="271" t="str">
        <f ca="1">IF(CELL("type",'Tropical Sno'!$C148)&lt;&gt;"v","",IF('Tropical Sno'!$B148="TOTAL:","",(IF('Tropical Sno'!$B148="CODE","",IF('Tropical Sno'!$C148&gt;0,'Tropical Sno'!B148,"")))))</f>
        <v/>
      </c>
      <c r="C148" s="271" t="str">
        <f ca="1">IF(CELL("type",'Tropical Sno'!$C148)&lt;&gt;"v","",IF('Tropical Sno'!$B148="TOTAL:","",(IF('Tropical Sno'!$B148="CODE","",IF('Tropical Sno'!$C148&gt;0,'Tropical Sno'!C148,"")))))</f>
        <v/>
      </c>
      <c r="E148" s="274"/>
      <c r="F148" s="274"/>
    </row>
    <row r="149" spans="2:6">
      <c r="B149" s="271" t="str">
        <f ca="1">IF(CELL("type",'Tropical Sno'!$C149)&lt;&gt;"v","",IF('Tropical Sno'!$B149="TOTAL:","",(IF('Tropical Sno'!$B149="CODE","",IF('Tropical Sno'!$C149&gt;0,'Tropical Sno'!B149,"")))))</f>
        <v/>
      </c>
      <c r="C149" s="271" t="str">
        <f ca="1">IF(CELL("type",'Tropical Sno'!$C149)&lt;&gt;"v","",IF('Tropical Sno'!$B149="TOTAL:","",(IF('Tropical Sno'!$B149="CODE","",IF('Tropical Sno'!$C149&gt;0,'Tropical Sno'!C149,"")))))</f>
        <v/>
      </c>
      <c r="E149" s="274"/>
      <c r="F149" s="274"/>
    </row>
    <row r="150" spans="2:6">
      <c r="B150" s="271" t="str">
        <f ca="1">IF(CELL("type",'Tropical Sno'!$C150)&lt;&gt;"v","",IF('Tropical Sno'!$B150="TOTAL:","",(IF('Tropical Sno'!$B150="CODE","",IF('Tropical Sno'!$C150&gt;0,'Tropical Sno'!B150,"")))))</f>
        <v/>
      </c>
      <c r="C150" s="271" t="str">
        <f ca="1">IF(CELL("type",'Tropical Sno'!$C150)&lt;&gt;"v","",IF('Tropical Sno'!$B150="TOTAL:","",(IF('Tropical Sno'!$B150="CODE","",IF('Tropical Sno'!$C150&gt;0,'Tropical Sno'!C150,"")))))</f>
        <v/>
      </c>
      <c r="E150" s="274"/>
      <c r="F150" s="274"/>
    </row>
    <row r="151" spans="2:6">
      <c r="B151" s="271" t="str">
        <f ca="1">IF(CELL("type",'Tropical Sno'!$C151)&lt;&gt;"v","",IF('Tropical Sno'!$B151="TOTAL:","",(IF('Tropical Sno'!$B151="CODE","",IF('Tropical Sno'!$C151&gt;0,'Tropical Sno'!B151,"")))))</f>
        <v/>
      </c>
      <c r="C151" s="271" t="str">
        <f ca="1">IF(CELL("type",'Tropical Sno'!$C151)&lt;&gt;"v","",IF('Tropical Sno'!$B151="TOTAL:","",(IF('Tropical Sno'!$B151="CODE","",IF('Tropical Sno'!$C151&gt;0,'Tropical Sno'!C151,"")))))</f>
        <v/>
      </c>
      <c r="E151" s="274"/>
      <c r="F151" s="274"/>
    </row>
    <row r="152" spans="2:6">
      <c r="B152" s="271" t="str">
        <f ca="1">IF(CELL("type",'Tropical Sno'!$C152)&lt;&gt;"v","",IF('Tropical Sno'!$B152="TOTAL:","",(IF('Tropical Sno'!$B152="CODE","",IF('Tropical Sno'!$C152&gt;0,'Tropical Sno'!B152,"")))))</f>
        <v/>
      </c>
      <c r="C152" s="271" t="str">
        <f ca="1">IF(CELL("type",'Tropical Sno'!$C152)&lt;&gt;"v","",IF('Tropical Sno'!$B152="TOTAL:","",(IF('Tropical Sno'!$B152="CODE","",IF('Tropical Sno'!$C152&gt;0,'Tropical Sno'!C152,"")))))</f>
        <v/>
      </c>
      <c r="E152" s="274"/>
      <c r="F152" s="274"/>
    </row>
    <row r="153" spans="2:6">
      <c r="B153" s="271" t="str">
        <f ca="1">IF(CELL("type",'Tropical Sno'!$C153)&lt;&gt;"v","",IF('Tropical Sno'!$B153="TOTAL:","",(IF('Tropical Sno'!$B153="CODE","",IF('Tropical Sno'!$C153&gt;0,'Tropical Sno'!B153,"")))))</f>
        <v/>
      </c>
      <c r="C153" s="271" t="str">
        <f ca="1">IF(CELL("type",'Tropical Sno'!$C153)&lt;&gt;"v","",IF('Tropical Sno'!$B153="TOTAL:","",(IF('Tropical Sno'!$B153="CODE","",IF('Tropical Sno'!$C153&gt;0,'Tropical Sno'!C153,"")))))</f>
        <v/>
      </c>
      <c r="E153" s="274"/>
      <c r="F153" s="274"/>
    </row>
    <row r="154" spans="2:6">
      <c r="B154" s="271" t="str">
        <f ca="1">IF(CELL("type",'Tropical Sno'!$C154)&lt;&gt;"v","",IF('Tropical Sno'!$B154="TOTAL:","",(IF('Tropical Sno'!$B154="CODE","",IF('Tropical Sno'!$C154&gt;0,'Tropical Sno'!B154,"")))))</f>
        <v/>
      </c>
      <c r="C154" s="271" t="str">
        <f ca="1">IF(CELL("type",'Tropical Sno'!$C154)&lt;&gt;"v","",IF('Tropical Sno'!$B154="TOTAL:","",(IF('Tropical Sno'!$B154="CODE","",IF('Tropical Sno'!$C154&gt;0,'Tropical Sno'!C154,"")))))</f>
        <v/>
      </c>
      <c r="E154" s="274"/>
      <c r="F154" s="274"/>
    </row>
    <row r="155" spans="2:6">
      <c r="B155" s="271" t="str">
        <f ca="1">IF(CELL("type",'Tropical Sno'!$C155)&lt;&gt;"v","",IF('Tropical Sno'!$B155="TOTAL:","",(IF('Tropical Sno'!$B155="CODE","",IF('Tropical Sno'!$C155&gt;0,'Tropical Sno'!B155,"")))))</f>
        <v/>
      </c>
      <c r="C155" s="271" t="str">
        <f ca="1">IF(CELL("type",'Tropical Sno'!$C155)&lt;&gt;"v","",IF('Tropical Sno'!$B155="TOTAL:","",(IF('Tropical Sno'!$B155="CODE","",IF('Tropical Sno'!$C155&gt;0,'Tropical Sno'!C155,"")))))</f>
        <v/>
      </c>
      <c r="E155" s="274"/>
      <c r="F155" s="274"/>
    </row>
    <row r="156" spans="2:6">
      <c r="B156" s="271" t="str">
        <f ca="1">IF(CELL("type",'Tropical Sno'!$C156)&lt;&gt;"v","",IF('Tropical Sno'!$B156="TOTAL:","",(IF('Tropical Sno'!$B156="CODE","",IF('Tropical Sno'!$C156&gt;0,'Tropical Sno'!B156,"")))))</f>
        <v/>
      </c>
      <c r="C156" s="271" t="str">
        <f ca="1">IF(CELL("type",'Tropical Sno'!$C156)&lt;&gt;"v","",IF('Tropical Sno'!$B156="TOTAL:","",(IF('Tropical Sno'!$B156="CODE","",IF('Tropical Sno'!$C156&gt;0,'Tropical Sno'!C156,"")))))</f>
        <v/>
      </c>
      <c r="E156" s="274"/>
      <c r="F156" s="274"/>
    </row>
    <row r="157" spans="2:6">
      <c r="B157" s="271" t="str">
        <f ca="1">IF(CELL("type",'Tropical Sno'!$C157)&lt;&gt;"v","",IF('Tropical Sno'!$B157="TOTAL:","",(IF('Tropical Sno'!$B157="CODE","",IF('Tropical Sno'!$C157&gt;0,'Tropical Sno'!B157,"")))))</f>
        <v/>
      </c>
      <c r="C157" s="271" t="str">
        <f ca="1">IF(CELL("type",'Tropical Sno'!$C157)&lt;&gt;"v","",IF('Tropical Sno'!$B157="TOTAL:","",(IF('Tropical Sno'!$B157="CODE","",IF('Tropical Sno'!$C157&gt;0,'Tropical Sno'!C157,"")))))</f>
        <v/>
      </c>
      <c r="E157" s="274"/>
      <c r="F157" s="274"/>
    </row>
    <row r="158" spans="2:6">
      <c r="B158" s="271" t="str">
        <f ca="1">IF(CELL("type",'Tropical Sno'!$C158)&lt;&gt;"v","",IF('Tropical Sno'!$B158="TOTAL:","",(IF('Tropical Sno'!$B158="CODE","",IF('Tropical Sno'!$C158&gt;0,'Tropical Sno'!B158,"")))))</f>
        <v/>
      </c>
      <c r="C158" s="271" t="str">
        <f ca="1">IF(CELL("type",'Tropical Sno'!$C158)&lt;&gt;"v","",IF('Tropical Sno'!$B158="TOTAL:","",(IF('Tropical Sno'!$B158="CODE","",IF('Tropical Sno'!$C158&gt;0,'Tropical Sno'!C158,"")))))</f>
        <v/>
      </c>
      <c r="E158" s="274"/>
      <c r="F158" s="274"/>
    </row>
    <row r="159" spans="2:6">
      <c r="B159" s="271" t="str">
        <f ca="1">IF(CELL("type",'Tropical Sno'!$C159)&lt;&gt;"v","",IF('Tropical Sno'!$B159="TOTAL:","",(IF('Tropical Sno'!$B159="CODE","",IF('Tropical Sno'!$C159&gt;0,'Tropical Sno'!B159,"")))))</f>
        <v/>
      </c>
      <c r="C159" s="271" t="str">
        <f ca="1">IF(CELL("type",'Tropical Sno'!$C159)&lt;&gt;"v","",IF('Tropical Sno'!$B159="TOTAL:","",(IF('Tropical Sno'!$B159="CODE","",IF('Tropical Sno'!$C159&gt;0,'Tropical Sno'!C159,"")))))</f>
        <v/>
      </c>
      <c r="E159" s="274"/>
      <c r="F159" s="274"/>
    </row>
    <row r="160" spans="2:6">
      <c r="B160" s="271" t="str">
        <f ca="1">IF(CELL("type",'Tropical Sno'!$C160)&lt;&gt;"v","",IF('Tropical Sno'!$B160="TOTAL:","",(IF('Tropical Sno'!$B160="CODE","",IF('Tropical Sno'!$C160&gt;0,'Tropical Sno'!B160,"")))))</f>
        <v/>
      </c>
      <c r="C160" s="271" t="str">
        <f ca="1">IF(CELL("type",'Tropical Sno'!$C160)&lt;&gt;"v","",IF('Tropical Sno'!$B160="TOTAL:","",(IF('Tropical Sno'!$B160="CODE","",IF('Tropical Sno'!$C160&gt;0,'Tropical Sno'!C160,"")))))</f>
        <v/>
      </c>
      <c r="E160" s="274"/>
      <c r="F160" s="274"/>
    </row>
    <row r="161" spans="2:6">
      <c r="B161" s="271" t="str">
        <f ca="1">IF(CELL("type",'Tropical Sno'!$C161)&lt;&gt;"v","",IF('Tropical Sno'!$B161="TOTAL:","",(IF('Tropical Sno'!$B161="CODE","",IF('Tropical Sno'!$C161&gt;0,'Tropical Sno'!B161,"")))))</f>
        <v/>
      </c>
      <c r="C161" s="271" t="str">
        <f ca="1">IF(CELL("type",'Tropical Sno'!$C161)&lt;&gt;"v","",IF('Tropical Sno'!$B161="TOTAL:","",(IF('Tropical Sno'!$B161="CODE","",IF('Tropical Sno'!$C161&gt;0,'Tropical Sno'!C161,"")))))</f>
        <v/>
      </c>
      <c r="E161" s="274"/>
      <c r="F161" s="274"/>
    </row>
    <row r="162" spans="2:6">
      <c r="B162" s="271" t="str">
        <f ca="1">IF(CELL("type",'Tropical Sno'!$C162)&lt;&gt;"v","",IF('Tropical Sno'!$B162="TOTAL:","",(IF('Tropical Sno'!$B162="CODE","",IF('Tropical Sno'!$C162&gt;0,'Tropical Sno'!B162,"")))))</f>
        <v/>
      </c>
      <c r="C162" s="271" t="str">
        <f ca="1">IF(CELL("type",'Tropical Sno'!$C162)&lt;&gt;"v","",IF('Tropical Sno'!$B162="TOTAL:","",(IF('Tropical Sno'!$B162="CODE","",IF('Tropical Sno'!$C162&gt;0,'Tropical Sno'!C162,"")))))</f>
        <v/>
      </c>
      <c r="E162" s="274"/>
      <c r="F162" s="274"/>
    </row>
    <row r="163" spans="2:6">
      <c r="B163" s="271" t="str">
        <f ca="1">IF(CELL("type",'Tropical Sno'!$C163)&lt;&gt;"v","",IF('Tropical Sno'!$B163="TOTAL:","",(IF('Tropical Sno'!$B163="CODE","",IF('Tropical Sno'!$C163&gt;0,'Tropical Sno'!B163,"")))))</f>
        <v/>
      </c>
      <c r="C163" s="271" t="str">
        <f ca="1">IF(CELL("type",'Tropical Sno'!$C163)&lt;&gt;"v","",IF('Tropical Sno'!$B163="TOTAL:","",(IF('Tropical Sno'!$B163="CODE","",IF('Tropical Sno'!$C163&gt;0,'Tropical Sno'!C163,"")))))</f>
        <v/>
      </c>
      <c r="E163" s="274"/>
      <c r="F163" s="274"/>
    </row>
    <row r="164" spans="2:6">
      <c r="B164" s="271" t="str">
        <f ca="1">IF(CELL("type",'Tropical Sno'!$C164)&lt;&gt;"v","",IF('Tropical Sno'!$B164="TOTAL:","",(IF('Tropical Sno'!$B164="CODE","",IF('Tropical Sno'!$C164&gt;0,'Tropical Sno'!B164,"")))))</f>
        <v/>
      </c>
      <c r="C164" s="271" t="str">
        <f ca="1">IF(CELL("type",'Tropical Sno'!$C164)&lt;&gt;"v","",IF('Tropical Sno'!$B164="TOTAL:","",(IF('Tropical Sno'!$B164="CODE","",IF('Tropical Sno'!$C164&gt;0,'Tropical Sno'!C164,"")))))</f>
        <v/>
      </c>
      <c r="E164" s="274"/>
      <c r="F164" s="274"/>
    </row>
    <row r="165" spans="2:6">
      <c r="B165" s="271" t="str">
        <f ca="1">IF(CELL("type",'Tropical Sno'!$C165)&lt;&gt;"v","",IF('Tropical Sno'!$B165="TOTAL:","",(IF('Tropical Sno'!$B165="CODE","",IF('Tropical Sno'!$C165&gt;0,'Tropical Sno'!B165,"")))))</f>
        <v/>
      </c>
      <c r="C165" s="271" t="str">
        <f ca="1">IF(CELL("type",'Tropical Sno'!$C165)&lt;&gt;"v","",IF('Tropical Sno'!$B165="TOTAL:","",(IF('Tropical Sno'!$B165="CODE","",IF('Tropical Sno'!$C165&gt;0,'Tropical Sno'!C165,"")))))</f>
        <v/>
      </c>
      <c r="E165" s="274"/>
      <c r="F165" s="274"/>
    </row>
    <row r="166" spans="2:6">
      <c r="B166" s="271" t="str">
        <f ca="1">IF(CELL("type",'Tropical Sno'!$C166)&lt;&gt;"v","",IF('Tropical Sno'!$B166="TOTAL:","",(IF('Tropical Sno'!$B166="CODE","",IF('Tropical Sno'!$C166&gt;0,'Tropical Sno'!B166,"")))))</f>
        <v/>
      </c>
      <c r="C166" s="271" t="str">
        <f ca="1">IF(CELL("type",'Tropical Sno'!$C166)&lt;&gt;"v","",IF('Tropical Sno'!$B166="TOTAL:","",(IF('Tropical Sno'!$B166="CODE","",IF('Tropical Sno'!$C166&gt;0,'Tropical Sno'!C166,"")))))</f>
        <v/>
      </c>
      <c r="E166" s="274"/>
      <c r="F166" s="274"/>
    </row>
    <row r="167" spans="2:6">
      <c r="B167" s="271" t="str">
        <f ca="1">IF(CELL("type",'Tropical Sno'!$C167)&lt;&gt;"v","",IF('Tropical Sno'!$B167="TOTAL:","",(IF('Tropical Sno'!$B167="CODE","",IF('Tropical Sno'!$C167&gt;0,'Tropical Sno'!B167,"")))))</f>
        <v/>
      </c>
      <c r="C167" s="271" t="str">
        <f ca="1">IF(CELL("type",'Tropical Sno'!$C167)&lt;&gt;"v","",IF('Tropical Sno'!$B167="TOTAL:","",(IF('Tropical Sno'!$B167="CODE","",IF('Tropical Sno'!$C167&gt;0,'Tropical Sno'!C167,"")))))</f>
        <v/>
      </c>
      <c r="E167" s="274"/>
      <c r="F167" s="274"/>
    </row>
    <row r="168" spans="2:6">
      <c r="B168" s="271" t="str">
        <f ca="1">IF(CELL("type",'Tropical Sno'!$C168)&lt;&gt;"v","",IF('Tropical Sno'!$B168="TOTAL:","",(IF('Tropical Sno'!$B168="CODE","",IF('Tropical Sno'!$C168&gt;0,'Tropical Sno'!B168,"")))))</f>
        <v/>
      </c>
      <c r="C168" s="271" t="str">
        <f ca="1">IF(CELL("type",'Tropical Sno'!$C168)&lt;&gt;"v","",IF('Tropical Sno'!$B168="TOTAL:","",(IF('Tropical Sno'!$B168="CODE","",IF('Tropical Sno'!$C168&gt;0,'Tropical Sno'!C168,"")))))</f>
        <v/>
      </c>
      <c r="E168" s="274"/>
      <c r="F168" s="274"/>
    </row>
    <row r="169" spans="2:6">
      <c r="B169" s="271" t="str">
        <f ca="1">IF(CELL("type",'Tropical Sno'!$C169)&lt;&gt;"v","",IF('Tropical Sno'!$B169="TOTAL:","",(IF('Tropical Sno'!$B169="CODE","",IF('Tropical Sno'!$C169&gt;0,'Tropical Sno'!B169,"")))))</f>
        <v/>
      </c>
      <c r="C169" s="271" t="str">
        <f ca="1">IF(CELL("type",'Tropical Sno'!$C169)&lt;&gt;"v","",IF('Tropical Sno'!$B169="TOTAL:","",(IF('Tropical Sno'!$B169="CODE","",IF('Tropical Sno'!$C169&gt;0,'Tropical Sno'!C169,"")))))</f>
        <v/>
      </c>
      <c r="E169" s="274"/>
      <c r="F169" s="274"/>
    </row>
    <row r="170" spans="2:6">
      <c r="B170" s="271" t="str">
        <f ca="1">IF(CELL("type",'Tropical Sno'!$C170)&lt;&gt;"v","",IF('Tropical Sno'!$B170="TOTAL:","",(IF('Tropical Sno'!$B170="CODE","",IF('Tropical Sno'!$C170&gt;0,'Tropical Sno'!B170,"")))))</f>
        <v/>
      </c>
      <c r="C170" s="271" t="str">
        <f ca="1">IF(CELL("type",'Tropical Sno'!$C170)&lt;&gt;"v","",IF('Tropical Sno'!$B170="TOTAL:","",(IF('Tropical Sno'!$B170="CODE","",IF('Tropical Sno'!$C170&gt;0,'Tropical Sno'!C170,"")))))</f>
        <v/>
      </c>
      <c r="E170" s="274"/>
      <c r="F170" s="274"/>
    </row>
    <row r="171" spans="2:6">
      <c r="B171" s="271" t="str">
        <f ca="1">IF(CELL("type",'Tropical Sno'!$C171)&lt;&gt;"v","",IF('Tropical Sno'!$B171="TOTAL:","",(IF('Tropical Sno'!$B171="CODE","",IF('Tropical Sno'!$C171&gt;0,'Tropical Sno'!B171,"")))))</f>
        <v/>
      </c>
      <c r="C171" s="271" t="str">
        <f ca="1">IF(CELL("type",'Tropical Sno'!$C171)&lt;&gt;"v","",IF('Tropical Sno'!$B171="TOTAL:","",(IF('Tropical Sno'!$B171="CODE","",IF('Tropical Sno'!$C171&gt;0,'Tropical Sno'!C171,"")))))</f>
        <v/>
      </c>
      <c r="E171" s="274"/>
      <c r="F171" s="274"/>
    </row>
    <row r="172" spans="2:6">
      <c r="B172" s="271" t="str">
        <f ca="1">IF(CELL("type",'Tropical Sno'!$C172)&lt;&gt;"v","",IF('Tropical Sno'!$B172="TOTAL:","",(IF('Tropical Sno'!$B172="CODE","",IF('Tropical Sno'!$C172&gt;0,'Tropical Sno'!B172,"")))))</f>
        <v/>
      </c>
      <c r="C172" s="271" t="str">
        <f ca="1">IF(CELL("type",'Tropical Sno'!$C172)&lt;&gt;"v","",IF('Tropical Sno'!$B172="TOTAL:","",(IF('Tropical Sno'!$B172="CODE","",IF('Tropical Sno'!$C172&gt;0,'Tropical Sno'!C172,"")))))</f>
        <v/>
      </c>
      <c r="E172" s="274"/>
      <c r="F172" s="274"/>
    </row>
    <row r="173" spans="2:6">
      <c r="B173" s="271" t="str">
        <f ca="1">IF(CELL("type",'Tropical Sno'!$C173)&lt;&gt;"v","",IF('Tropical Sno'!$B173="TOTAL:","",(IF('Tropical Sno'!$B173="CODE","",IF('Tropical Sno'!$C173&gt;0,'Tropical Sno'!B173,"")))))</f>
        <v/>
      </c>
      <c r="C173" s="271" t="str">
        <f ca="1">IF(CELL("type",'Tropical Sno'!$C173)&lt;&gt;"v","",IF('Tropical Sno'!$B173="TOTAL:","",(IF('Tropical Sno'!$B173="CODE","",IF('Tropical Sno'!$C173&gt;0,'Tropical Sno'!C173,"")))))</f>
        <v/>
      </c>
      <c r="E173" s="274"/>
      <c r="F173" s="274"/>
    </row>
    <row r="174" spans="2:6">
      <c r="B174" s="271" t="str">
        <f ca="1">IF(CELL("type",'Tropical Sno'!$C174)&lt;&gt;"v","",IF('Tropical Sno'!$B174="TOTAL:","",(IF('Tropical Sno'!$B174="CODE","",IF('Tropical Sno'!$C174&gt;0,'Tropical Sno'!B174,"")))))</f>
        <v/>
      </c>
      <c r="C174" s="271" t="str">
        <f ca="1">IF(CELL("type",'Tropical Sno'!$C174)&lt;&gt;"v","",IF('Tropical Sno'!$B174="TOTAL:","",(IF('Tropical Sno'!$B174="CODE","",IF('Tropical Sno'!$C174&gt;0,'Tropical Sno'!C174,"")))))</f>
        <v/>
      </c>
      <c r="E174" s="274"/>
      <c r="F174" s="274"/>
    </row>
    <row r="175" spans="2:6">
      <c r="B175" s="271" t="str">
        <f ca="1">IF(CELL("type",'Tropical Sno'!$C175)&lt;&gt;"v","",IF('Tropical Sno'!$B175="TOTAL:","",(IF('Tropical Sno'!$B175="CODE","",IF('Tropical Sno'!$C175&gt;0,'Tropical Sno'!B175,"")))))</f>
        <v/>
      </c>
      <c r="C175" s="271" t="str">
        <f ca="1">IF(CELL("type",'Tropical Sno'!$C175)&lt;&gt;"v","",IF('Tropical Sno'!$B175="TOTAL:","",(IF('Tropical Sno'!$B175="CODE","",IF('Tropical Sno'!$C175&gt;0,'Tropical Sno'!C175,"")))))</f>
        <v/>
      </c>
      <c r="E175" s="274"/>
      <c r="F175" s="274"/>
    </row>
    <row r="176" spans="2:6">
      <c r="B176" s="271" t="str">
        <f ca="1">IF(CELL("type",'Tropical Sno'!$C176)&lt;&gt;"v","",IF('Tropical Sno'!$B176="TOTAL:","",(IF('Tropical Sno'!$B176="CODE","",IF('Tropical Sno'!$C176&gt;0,'Tropical Sno'!B176,"")))))</f>
        <v/>
      </c>
      <c r="C176" s="271" t="str">
        <f ca="1">IF(CELL("type",'Tropical Sno'!$C176)&lt;&gt;"v","",IF('Tropical Sno'!$B176="TOTAL:","",(IF('Tropical Sno'!$B176="CODE","",IF('Tropical Sno'!$C176&gt;0,'Tropical Sno'!C176,"")))))</f>
        <v/>
      </c>
      <c r="E176" s="274"/>
      <c r="F176" s="274"/>
    </row>
    <row r="177" spans="2:6">
      <c r="B177" s="271" t="str">
        <f ca="1">IF(CELL("type",'Tropical Sno'!$C177)&lt;&gt;"v","",IF('Tropical Sno'!$B177="TOTAL:","",(IF('Tropical Sno'!$B177="CODE","",IF('Tropical Sno'!$C177&gt;0,'Tropical Sno'!B177,"")))))</f>
        <v/>
      </c>
      <c r="C177" s="271" t="str">
        <f ca="1">IF(CELL("type",'Tropical Sno'!$C177)&lt;&gt;"v","",IF('Tropical Sno'!$B177="TOTAL:","",(IF('Tropical Sno'!$B177="CODE","",IF('Tropical Sno'!$C177&gt;0,'Tropical Sno'!C177,"")))))</f>
        <v/>
      </c>
      <c r="E177" s="274"/>
      <c r="F177" s="274"/>
    </row>
    <row r="178" spans="2:6">
      <c r="B178" s="271" t="str">
        <f ca="1">IF(CELL("type",'Tropical Sno'!$C178)&lt;&gt;"v","",IF('Tropical Sno'!$B178="TOTAL:","",(IF('Tropical Sno'!$B178="CODE","",IF('Tropical Sno'!$C178&gt;0,'Tropical Sno'!B178,"")))))</f>
        <v/>
      </c>
      <c r="C178" s="271" t="str">
        <f ca="1">IF(CELL("type",'Tropical Sno'!$C178)&lt;&gt;"v","",IF('Tropical Sno'!$B178="TOTAL:","",(IF('Tropical Sno'!$B178="CODE","",IF('Tropical Sno'!$C178&gt;0,'Tropical Sno'!C178,"")))))</f>
        <v/>
      </c>
      <c r="E178" s="274"/>
      <c r="F178" s="274"/>
    </row>
    <row r="179" spans="2:6">
      <c r="B179" s="271" t="str">
        <f ca="1">IF(CELL("type",'Tropical Sno'!$C179)&lt;&gt;"v","",IF('Tropical Sno'!$B179="TOTAL:","",(IF('Tropical Sno'!$B179="CODE","",IF('Tropical Sno'!$C179&gt;0,'Tropical Sno'!B179,"")))))</f>
        <v/>
      </c>
      <c r="C179" s="271" t="str">
        <f ca="1">IF(CELL("type",'Tropical Sno'!$C179)&lt;&gt;"v","",IF('Tropical Sno'!$B179="TOTAL:","",(IF('Tropical Sno'!$B179="CODE","",IF('Tropical Sno'!$C179&gt;0,'Tropical Sno'!C179,"")))))</f>
        <v/>
      </c>
      <c r="E179" s="274"/>
      <c r="F179" s="274"/>
    </row>
    <row r="180" spans="2:6">
      <c r="B180" s="271" t="str">
        <f ca="1">IF(CELL("type",'Tropical Sno'!$C180)&lt;&gt;"v","",IF('Tropical Sno'!$B180="TOTAL:","",(IF('Tropical Sno'!$B180="CODE","",IF('Tropical Sno'!$C180&gt;0,'Tropical Sno'!B180,"")))))</f>
        <v/>
      </c>
      <c r="C180" s="271" t="str">
        <f ca="1">IF(CELL("type",'Tropical Sno'!$C180)&lt;&gt;"v","",IF('Tropical Sno'!$B180="TOTAL:","",(IF('Tropical Sno'!$B180="CODE","",IF('Tropical Sno'!$C180&gt;0,'Tropical Sno'!C180,"")))))</f>
        <v/>
      </c>
      <c r="E180" s="274"/>
      <c r="F180" s="274"/>
    </row>
    <row r="181" spans="2:6">
      <c r="B181" s="271" t="str">
        <f ca="1">IF(CELL("type",'Tropical Sno'!$C181)&lt;&gt;"v","",IF('Tropical Sno'!$B181="TOTAL:","",(IF('Tropical Sno'!$B181="CODE","",IF('Tropical Sno'!$C181&gt;0,'Tropical Sno'!B181,"")))))</f>
        <v/>
      </c>
      <c r="C181" s="271" t="str">
        <f ca="1">IF(CELL("type",'Tropical Sno'!$C181)&lt;&gt;"v","",IF('Tropical Sno'!$B181="TOTAL:","",(IF('Tropical Sno'!$B181="CODE","",IF('Tropical Sno'!$C181&gt;0,'Tropical Sno'!C181,"")))))</f>
        <v/>
      </c>
      <c r="E181" s="274"/>
      <c r="F181" s="274"/>
    </row>
    <row r="182" spans="2:6">
      <c r="B182" s="271" t="str">
        <f ca="1">IF(CELL("type",'Tropical Sno'!$C182)&lt;&gt;"v","",IF('Tropical Sno'!$B182="TOTAL:","",(IF('Tropical Sno'!$B182="CODE","",IF('Tropical Sno'!$C182&gt;0,'Tropical Sno'!B182,"")))))</f>
        <v/>
      </c>
      <c r="C182" s="271" t="str">
        <f ca="1">IF(CELL("type",'Tropical Sno'!$C182)&lt;&gt;"v","",IF('Tropical Sno'!$B182="TOTAL:","",(IF('Tropical Sno'!$B182="CODE","",IF('Tropical Sno'!$C182&gt;0,'Tropical Sno'!C182,"")))))</f>
        <v/>
      </c>
      <c r="E182" s="274"/>
      <c r="F182" s="274"/>
    </row>
    <row r="183" spans="2:6">
      <c r="B183" s="271" t="str">
        <f ca="1">IF(CELL("type",'Tropical Sno'!$C183)&lt;&gt;"v","",IF('Tropical Sno'!$B183="TOTAL:","",(IF('Tropical Sno'!$B183="CODE","",IF('Tropical Sno'!$C183&gt;0,'Tropical Sno'!B183,"")))))</f>
        <v/>
      </c>
      <c r="C183" s="271" t="str">
        <f ca="1">IF(CELL("type",'Tropical Sno'!$C183)&lt;&gt;"v","",IF('Tropical Sno'!$B183="TOTAL:","",(IF('Tropical Sno'!$B183="CODE","",IF('Tropical Sno'!$C183&gt;0,'Tropical Sno'!C183,"")))))</f>
        <v/>
      </c>
      <c r="E183" s="274"/>
      <c r="F183" s="274"/>
    </row>
    <row r="184" spans="2:6">
      <c r="B184" s="271" t="str">
        <f ca="1">IF(CELL("type",'Tropical Sno'!$C184)&lt;&gt;"v","",IF('Tropical Sno'!$B184="TOTAL:","",(IF('Tropical Sno'!$B184="CODE","",IF('Tropical Sno'!$C184&gt;0,'Tropical Sno'!B184,"")))))</f>
        <v/>
      </c>
      <c r="C184" s="271" t="str">
        <f ca="1">IF(CELL("type",'Tropical Sno'!$C184)&lt;&gt;"v","",IF('Tropical Sno'!$B184="TOTAL:","",(IF('Tropical Sno'!$B184="CODE","",IF('Tropical Sno'!$C184&gt;0,'Tropical Sno'!C184,"")))))</f>
        <v/>
      </c>
      <c r="E184" s="274"/>
      <c r="F184" s="274"/>
    </row>
    <row r="185" spans="2:6">
      <c r="B185" s="271" t="str">
        <f ca="1">IF(CELL("type",'Tropical Sno'!$C185)&lt;&gt;"v","",IF('Tropical Sno'!$B185="TOTAL:","",(IF('Tropical Sno'!$B185="CODE","",IF('Tropical Sno'!$C185&gt;0,'Tropical Sno'!B185,"")))))</f>
        <v/>
      </c>
      <c r="C185" s="271" t="str">
        <f ca="1">IF(CELL("type",'Tropical Sno'!$C185)&lt;&gt;"v","",IF('Tropical Sno'!$B185="TOTAL:","",(IF('Tropical Sno'!$B185="CODE","",IF('Tropical Sno'!$C185&gt;0,'Tropical Sno'!C185,"")))))</f>
        <v/>
      </c>
      <c r="E185" s="274"/>
      <c r="F185" s="274"/>
    </row>
    <row r="186" spans="2:6">
      <c r="B186" s="271" t="str">
        <f ca="1">IF(CELL("type",'Tropical Sno'!$C186)&lt;&gt;"v","",IF('Tropical Sno'!$B186="TOTAL:","",(IF('Tropical Sno'!$B186="CODE","",IF('Tropical Sno'!$C186&gt;0,'Tropical Sno'!B186,"")))))</f>
        <v/>
      </c>
      <c r="C186" s="271" t="str">
        <f ca="1">IF(CELL("type",'Tropical Sno'!$C186)&lt;&gt;"v","",IF('Tropical Sno'!$B186="TOTAL:","",(IF('Tropical Sno'!$B186="CODE","",IF('Tropical Sno'!$C186&gt;0,'Tropical Sno'!C186,"")))))</f>
        <v/>
      </c>
      <c r="E186" s="274"/>
      <c r="F186" s="274"/>
    </row>
    <row r="187" spans="2:6">
      <c r="B187" s="271" t="str">
        <f ca="1">IF(CELL("type",'Tropical Sno'!$C187)&lt;&gt;"v","",IF('Tropical Sno'!$B187="TOTAL:","",(IF('Tropical Sno'!$B187="CODE","",IF('Tropical Sno'!$C187&gt;0,'Tropical Sno'!B187,"")))))</f>
        <v/>
      </c>
      <c r="C187" s="271" t="str">
        <f ca="1">IF(CELL("type",'Tropical Sno'!$C187)&lt;&gt;"v","",IF('Tropical Sno'!$B187="TOTAL:","",(IF('Tropical Sno'!$B187="CODE","",IF('Tropical Sno'!$C187&gt;0,'Tropical Sno'!C187,"")))))</f>
        <v/>
      </c>
      <c r="E187" s="274"/>
      <c r="F187" s="274"/>
    </row>
    <row r="188" spans="2:6">
      <c r="B188" s="271" t="str">
        <f ca="1">IF(CELL("type",'Tropical Sno'!$C188)&lt;&gt;"v","",IF('Tropical Sno'!$B188="TOTAL:","",(IF('Tropical Sno'!$B188="CODE","",IF('Tropical Sno'!$C188&gt;0,'Tropical Sno'!B188,"")))))</f>
        <v/>
      </c>
      <c r="C188" s="271" t="str">
        <f ca="1">IF(CELL("type",'Tropical Sno'!$C188)&lt;&gt;"v","",IF('Tropical Sno'!$B188="TOTAL:","",(IF('Tropical Sno'!$B188="CODE","",IF('Tropical Sno'!$C188&gt;0,'Tropical Sno'!C188,"")))))</f>
        <v/>
      </c>
      <c r="E188" s="274"/>
      <c r="F188" s="274"/>
    </row>
    <row r="189" spans="2:6">
      <c r="B189" s="271" t="str">
        <f ca="1">IF(CELL("type",'Tropical Sno'!$C189)&lt;&gt;"v","",IF('Tropical Sno'!$B189="TOTAL:","",(IF('Tropical Sno'!$B189="CODE","",IF('Tropical Sno'!$C189&gt;0,'Tropical Sno'!B189,"")))))</f>
        <v/>
      </c>
      <c r="C189" s="271" t="str">
        <f ca="1">IF(CELL("type",'Tropical Sno'!$C189)&lt;&gt;"v","",IF('Tropical Sno'!$B189="TOTAL:","",(IF('Tropical Sno'!$B189="CODE","",IF('Tropical Sno'!$C189&gt;0,'Tropical Sno'!C189,"")))))</f>
        <v/>
      </c>
      <c r="E189" s="274"/>
      <c r="F189" s="274"/>
    </row>
    <row r="190" spans="2:6">
      <c r="B190" s="271" t="str">
        <f ca="1">IF(CELL("type",'Tropical Sno'!$C190)&lt;&gt;"v","",IF('Tropical Sno'!$B190="TOTAL:","",(IF('Tropical Sno'!$B190="CODE","",IF('Tropical Sno'!$C190&gt;0,'Tropical Sno'!B190,"")))))</f>
        <v/>
      </c>
      <c r="C190" s="271" t="str">
        <f ca="1">IF(CELL("type",'Tropical Sno'!$C190)&lt;&gt;"v","",IF('Tropical Sno'!$B190="TOTAL:","",(IF('Tropical Sno'!$B190="CODE","",IF('Tropical Sno'!$C190&gt;0,'Tropical Sno'!C190,"")))))</f>
        <v/>
      </c>
      <c r="E190" s="274"/>
      <c r="F190" s="274"/>
    </row>
    <row r="191" spans="2:6">
      <c r="B191" s="271" t="str">
        <f ca="1">IF(CELL("type",'Tropical Sno'!$C191)&lt;&gt;"v","",IF('Tropical Sno'!$B191="TOTAL:","",(IF('Tropical Sno'!$B191="CODE","",IF('Tropical Sno'!$C191&gt;0,'Tropical Sno'!B191,"")))))</f>
        <v/>
      </c>
      <c r="C191" s="271" t="str">
        <f ca="1">IF(CELL("type",'Tropical Sno'!$C191)&lt;&gt;"v","",IF('Tropical Sno'!$B191="TOTAL:","",(IF('Tropical Sno'!$B191="CODE","",IF('Tropical Sno'!$C191&gt;0,'Tropical Sno'!C191,"")))))</f>
        <v/>
      </c>
      <c r="E191" s="274"/>
      <c r="F191" s="274"/>
    </row>
    <row r="192" spans="2:6">
      <c r="B192" s="271" t="str">
        <f ca="1">IF(CELL("type",'Tropical Sno'!$C192)&lt;&gt;"v","",IF('Tropical Sno'!$B192="TOTAL:","",(IF('Tropical Sno'!$B192="CODE","",IF('Tropical Sno'!$C192&gt;0,'Tropical Sno'!B192,"")))))</f>
        <v/>
      </c>
      <c r="C192" s="271" t="str">
        <f ca="1">IF(CELL("type",'Tropical Sno'!$C192)&lt;&gt;"v","",IF('Tropical Sno'!$B192="TOTAL:","",(IF('Tropical Sno'!$B192="CODE","",IF('Tropical Sno'!$C192&gt;0,'Tropical Sno'!C192,"")))))</f>
        <v/>
      </c>
      <c r="E192" s="274"/>
      <c r="F192" s="274"/>
    </row>
    <row r="193" spans="2:6">
      <c r="B193" s="271" t="str">
        <f ca="1">IF(CELL("type",'Tropical Sno'!$C193)&lt;&gt;"v","",IF('Tropical Sno'!$B193="TOTAL:","",(IF('Tropical Sno'!$B193="CODE","",IF('Tropical Sno'!$C193&gt;0,'Tropical Sno'!B193,"")))))</f>
        <v/>
      </c>
      <c r="C193" s="271" t="str">
        <f ca="1">IF(CELL("type",'Tropical Sno'!$C193)&lt;&gt;"v","",IF('Tropical Sno'!$B193="TOTAL:","",(IF('Tropical Sno'!$B193="CODE","",IF('Tropical Sno'!$C193&gt;0,'Tropical Sno'!C193,"")))))</f>
        <v/>
      </c>
      <c r="E193" s="274"/>
      <c r="F193" s="274"/>
    </row>
    <row r="194" spans="2:6">
      <c r="B194" s="271" t="str">
        <f ca="1">IF(CELL("type",'Tropical Sno'!$C194)&lt;&gt;"v","",IF('Tropical Sno'!$B194="TOTAL:","",(IF('Tropical Sno'!$B194="CODE","",IF('Tropical Sno'!$C194&gt;0,'Tropical Sno'!B194,"")))))</f>
        <v/>
      </c>
      <c r="C194" s="271" t="str">
        <f ca="1">IF(CELL("type",'Tropical Sno'!$C194)&lt;&gt;"v","",IF('Tropical Sno'!$B194="TOTAL:","",(IF('Tropical Sno'!$B194="CODE","",IF('Tropical Sno'!$C194&gt;0,'Tropical Sno'!C194,"")))))</f>
        <v/>
      </c>
      <c r="E194" s="274"/>
      <c r="F194" s="274"/>
    </row>
    <row r="195" spans="2:6">
      <c r="B195" s="271" t="str">
        <f ca="1">IF(CELL("type",'Tropical Sno'!$C195)&lt;&gt;"v","",IF('Tropical Sno'!$B195="TOTAL:","",(IF('Tropical Sno'!$B195="CODE","",IF('Tropical Sno'!$C195&gt;0,'Tropical Sno'!B195,"")))))</f>
        <v/>
      </c>
      <c r="C195" s="271" t="str">
        <f ca="1">IF(CELL("type",'Tropical Sno'!$C195)&lt;&gt;"v","",IF('Tropical Sno'!$B195="TOTAL:","",(IF('Tropical Sno'!$B195="CODE","",IF('Tropical Sno'!$C195&gt;0,'Tropical Sno'!C195,"")))))</f>
        <v/>
      </c>
      <c r="E195" s="274"/>
      <c r="F195" s="274"/>
    </row>
    <row r="196" spans="2:6">
      <c r="B196" s="271" t="str">
        <f ca="1">IF(CELL("type",'Tropical Sno'!$C196)&lt;&gt;"v","",IF('Tropical Sno'!$B196="TOTAL:","",(IF('Tropical Sno'!$B196="CODE","",IF('Tropical Sno'!$C196&gt;0,'Tropical Sno'!B196,"")))))</f>
        <v/>
      </c>
      <c r="C196" s="271" t="str">
        <f ca="1">IF(CELL("type",'Tropical Sno'!$C196)&lt;&gt;"v","",IF('Tropical Sno'!$B196="TOTAL:","",(IF('Tropical Sno'!$B196="CODE","",IF('Tropical Sno'!$C196&gt;0,'Tropical Sno'!C196,"")))))</f>
        <v/>
      </c>
      <c r="E196" s="274"/>
      <c r="F196" s="274"/>
    </row>
    <row r="197" spans="2:6">
      <c r="B197" s="271" t="str">
        <f ca="1">IF(CELL("type",'Tropical Sno'!$C197)&lt;&gt;"v","",IF('Tropical Sno'!$B197="TOTAL:","",(IF('Tropical Sno'!$B197="CODE","",IF('Tropical Sno'!$C197&gt;0,'Tropical Sno'!B197,"")))))</f>
        <v/>
      </c>
      <c r="C197" s="271" t="str">
        <f ca="1">IF(CELL("type",'Tropical Sno'!$C197)&lt;&gt;"v","",IF('Tropical Sno'!$B197="TOTAL:","",(IF('Tropical Sno'!$B197="CODE","",IF('Tropical Sno'!$C197&gt;0,'Tropical Sno'!C197,"")))))</f>
        <v/>
      </c>
      <c r="E197" s="274"/>
      <c r="F197" s="274"/>
    </row>
    <row r="198" spans="2:6">
      <c r="B198" s="271" t="str">
        <f ca="1">IF(CELL("type",'Tropical Sno'!$C198)&lt;&gt;"v","",IF('Tropical Sno'!$B198="TOTAL:","",(IF('Tropical Sno'!$B198="CODE","",IF('Tropical Sno'!$C198&gt;0,'Tropical Sno'!B198,"")))))</f>
        <v/>
      </c>
      <c r="C198" s="271" t="str">
        <f ca="1">IF(CELL("type",'Tropical Sno'!$C198)&lt;&gt;"v","",IF('Tropical Sno'!$B198="TOTAL:","",(IF('Tropical Sno'!$B198="CODE","",IF('Tropical Sno'!$C198&gt;0,'Tropical Sno'!C198,"")))))</f>
        <v/>
      </c>
      <c r="E198" s="274"/>
      <c r="F198" s="274"/>
    </row>
    <row r="199" spans="2:6">
      <c r="B199" s="271" t="str">
        <f ca="1">IF(CELL("type",'Tropical Sno'!$C199)&lt;&gt;"v","",IF('Tropical Sno'!$B199="TOTAL:","",(IF('Tropical Sno'!$B199="CODE","",IF('Tropical Sno'!$C199&gt;0,'Tropical Sno'!B199,"")))))</f>
        <v/>
      </c>
      <c r="C199" s="271" t="str">
        <f ca="1">IF(CELL("type",'Tropical Sno'!$C199)&lt;&gt;"v","",IF('Tropical Sno'!$B199="TOTAL:","",(IF('Tropical Sno'!$B199="CODE","",IF('Tropical Sno'!$C199&gt;0,'Tropical Sno'!C199,"")))))</f>
        <v/>
      </c>
      <c r="E199" s="274"/>
      <c r="F199" s="274"/>
    </row>
    <row r="200" spans="2:6">
      <c r="B200" s="271" t="str">
        <f ca="1">IF(CELL("type",'Tropical Sno'!$C200)&lt;&gt;"v","",IF('Tropical Sno'!$B200="TOTAL:","",(IF('Tropical Sno'!$B200="CODE","",IF('Tropical Sno'!$C200&gt;0,'Tropical Sno'!B200,"")))))</f>
        <v/>
      </c>
      <c r="C200" s="271" t="str">
        <f ca="1">IF(CELL("type",'Tropical Sno'!$C200)&lt;&gt;"v","",IF('Tropical Sno'!$B200="TOTAL:","",(IF('Tropical Sno'!$B200="CODE","",IF('Tropical Sno'!$C200&gt;0,'Tropical Sno'!C200,"")))))</f>
        <v/>
      </c>
      <c r="E200" s="274"/>
      <c r="F200" s="274"/>
    </row>
    <row r="201" spans="2:6">
      <c r="B201" s="271" t="str">
        <f ca="1">IF(CELL("type",'Tropical Sno'!$C201)&lt;&gt;"v","",IF('Tropical Sno'!$B201="TOTAL:","",(IF('Tropical Sno'!$B201="CODE","",IF('Tropical Sno'!$C201&gt;0,'Tropical Sno'!B201,"")))))</f>
        <v/>
      </c>
      <c r="C201" s="271" t="str">
        <f ca="1">IF(CELL("type",'Tropical Sno'!$C201)&lt;&gt;"v","",IF('Tropical Sno'!$B201="TOTAL:","",(IF('Tropical Sno'!$B201="CODE","",IF('Tropical Sno'!$C201&gt;0,'Tropical Sno'!C201,"")))))</f>
        <v/>
      </c>
      <c r="E201" s="274"/>
      <c r="F201" s="274"/>
    </row>
    <row r="202" spans="2:6">
      <c r="B202" s="271" t="str">
        <f ca="1">IF(CELL("type",'Tropical Sno'!$C202)&lt;&gt;"v","",IF('Tropical Sno'!$B202="TOTAL:","",(IF('Tropical Sno'!$B202="CODE","",IF('Tropical Sno'!$C202&gt;0,'Tropical Sno'!B202,"")))))</f>
        <v/>
      </c>
      <c r="C202" s="271" t="str">
        <f ca="1">IF(CELL("type",'Tropical Sno'!$C202)&lt;&gt;"v","",IF('Tropical Sno'!$B202="TOTAL:","",(IF('Tropical Sno'!$B202="CODE","",IF('Tropical Sno'!$C202&gt;0,'Tropical Sno'!C202,"")))))</f>
        <v/>
      </c>
      <c r="E202" s="274"/>
      <c r="F202" s="274"/>
    </row>
    <row r="203" spans="2:6">
      <c r="B203" s="271" t="str">
        <f ca="1">IF(CELL("type",'Tropical Sno'!$C203)&lt;&gt;"v","",IF('Tropical Sno'!$B203="TOTAL:","",(IF('Tropical Sno'!$B203="CODE","",IF('Tropical Sno'!$C203&gt;0,'Tropical Sno'!B203,"")))))</f>
        <v/>
      </c>
      <c r="C203" s="271" t="str">
        <f ca="1">IF(CELL("type",'Tropical Sno'!$C203)&lt;&gt;"v","",IF('Tropical Sno'!$B203="TOTAL:","",(IF('Tropical Sno'!$B203="CODE","",IF('Tropical Sno'!$C203&gt;0,'Tropical Sno'!C203,"")))))</f>
        <v/>
      </c>
      <c r="E203" s="274"/>
      <c r="F203" s="274"/>
    </row>
    <row r="204" spans="2:6">
      <c r="B204" s="271" t="str">
        <f ca="1">IF(CELL("type",'Tropical Sno'!$C204)&lt;&gt;"v","",IF('Tropical Sno'!$B204="TOTAL:","",(IF('Tropical Sno'!$B204="CODE","",IF('Tropical Sno'!$C204&gt;0,'Tropical Sno'!B204,"")))))</f>
        <v/>
      </c>
      <c r="C204" s="271" t="str">
        <f ca="1">IF(CELL("type",'Tropical Sno'!$C204)&lt;&gt;"v","",IF('Tropical Sno'!$B204="TOTAL:","",(IF('Tropical Sno'!$B204="CODE","",IF('Tropical Sno'!$C204&gt;0,'Tropical Sno'!C204,"")))))</f>
        <v/>
      </c>
      <c r="E204" s="274"/>
      <c r="F204" s="274"/>
    </row>
    <row r="205" spans="2:6">
      <c r="B205" s="271" t="str">
        <f ca="1">IF(CELL("type",'Tropical Sno'!$C205)&lt;&gt;"v","",IF('Tropical Sno'!$B205="TOTAL:","",(IF('Tropical Sno'!$B205="CODE","",IF('Tropical Sno'!$C205&gt;0,'Tropical Sno'!B205,"")))))</f>
        <v/>
      </c>
      <c r="C205" s="271" t="str">
        <f ca="1">IF(CELL("type",'Tropical Sno'!$C205)&lt;&gt;"v","",IF('Tropical Sno'!$B205="TOTAL:","",(IF('Tropical Sno'!$B205="CODE","",IF('Tropical Sno'!$C205&gt;0,'Tropical Sno'!C205,"")))))</f>
        <v/>
      </c>
      <c r="E205" s="274"/>
      <c r="F205" s="274"/>
    </row>
    <row r="206" spans="2:6">
      <c r="B206" s="271" t="str">
        <f ca="1">IF(CELL("type",'Tropical Sno'!$C206)&lt;&gt;"v","",IF('Tropical Sno'!$B206="TOTAL:","",(IF('Tropical Sno'!$B206="CODE","",IF('Tropical Sno'!$C206&gt;0,'Tropical Sno'!B206,"")))))</f>
        <v/>
      </c>
      <c r="C206" s="271" t="str">
        <f ca="1">IF(CELL("type",'Tropical Sno'!$C206)&lt;&gt;"v","",IF('Tropical Sno'!$B206="TOTAL:","",(IF('Tropical Sno'!$B206="CODE","",IF('Tropical Sno'!$C206&gt;0,'Tropical Sno'!C206,"")))))</f>
        <v/>
      </c>
      <c r="E206" s="274"/>
      <c r="F206" s="274"/>
    </row>
    <row r="207" spans="2:6">
      <c r="B207" s="271" t="str">
        <f ca="1">IF(CELL("type",'Tropical Sno'!$C207)&lt;&gt;"v","",IF('Tropical Sno'!$B207="TOTAL:","",(IF('Tropical Sno'!$B207="CODE","",IF('Tropical Sno'!$C207&gt;0,'Tropical Sno'!B207,"")))))</f>
        <v/>
      </c>
      <c r="C207" s="271" t="str">
        <f ca="1">IF(CELL("type",'Tropical Sno'!$C207)&lt;&gt;"v","",IF('Tropical Sno'!$B207="TOTAL:","",(IF('Tropical Sno'!$B207="CODE","",IF('Tropical Sno'!$C207&gt;0,'Tropical Sno'!C207,"")))))</f>
        <v/>
      </c>
    </row>
    <row r="208" spans="2:6">
      <c r="B208" s="271" t="str">
        <f ca="1">IF(CELL("type",'Tropical Sno'!$C208)&lt;&gt;"v","",IF('Tropical Sno'!$B208="TOTAL:","",(IF('Tropical Sno'!$B208="CODE","",IF('Tropical Sno'!$C208&gt;0,'Tropical Sno'!B208,"")))))</f>
        <v/>
      </c>
      <c r="C208" s="271" t="str">
        <f ca="1">IF(CELL("type",'Tropical Sno'!$C208)&lt;&gt;"v","",IF('Tropical Sno'!$B208="TOTAL:","",(IF('Tropical Sno'!$B208="CODE","",IF('Tropical Sno'!$C208&gt;0,'Tropical Sno'!C208,"")))))</f>
        <v/>
      </c>
    </row>
    <row r="209" spans="2:3">
      <c r="B209" s="271" t="str">
        <f ca="1">IF(CELL("type",'Tropical Sno'!$C209)&lt;&gt;"v","",IF('Tropical Sno'!$B209="TOTAL:","",(IF('Tropical Sno'!$B209="CODE","",IF('Tropical Sno'!$C209&gt;0,'Tropical Sno'!B209,"")))))</f>
        <v/>
      </c>
      <c r="C209" s="271" t="str">
        <f ca="1">IF(CELL("type",'Tropical Sno'!$C209)&lt;&gt;"v","",IF('Tropical Sno'!$B209="TOTAL:","",(IF('Tropical Sno'!$B209="CODE","",IF('Tropical Sno'!$C209&gt;0,'Tropical Sno'!C209,"")))))</f>
        <v/>
      </c>
    </row>
    <row r="210" spans="2:3">
      <c r="B210" s="271" t="str">
        <f ca="1">IF(CELL("type",'Tropical Sno'!$C210)&lt;&gt;"v","",IF('Tropical Sno'!$B210="TOTAL:","",(IF('Tropical Sno'!$B210="CODE","",IF('Tropical Sno'!$C210&gt;0,'Tropical Sno'!B210,"")))))</f>
        <v/>
      </c>
      <c r="C210" s="271" t="str">
        <f ca="1">IF(CELL("type",'Tropical Sno'!$C210)&lt;&gt;"v","",IF('Tropical Sno'!$B210="TOTAL:","",(IF('Tropical Sno'!$B210="CODE","",IF('Tropical Sno'!$C210&gt;0,'Tropical Sno'!C210,"")))))</f>
        <v/>
      </c>
    </row>
    <row r="211" spans="2:3">
      <c r="B211" s="271" t="str">
        <f ca="1">IF(CELL("type",'Tropical Sno'!$C211)&lt;&gt;"v","",IF('Tropical Sno'!$B211="TOTAL:","",(IF('Tropical Sno'!$B211="CODE","",IF('Tropical Sno'!$C211&gt;0,'Tropical Sno'!B211,"")))))</f>
        <v/>
      </c>
      <c r="C211" s="271" t="str">
        <f ca="1">IF(CELL("type",'Tropical Sno'!$C211)&lt;&gt;"v","",IF('Tropical Sno'!$B211="TOTAL:","",(IF('Tropical Sno'!$B211="CODE","",IF('Tropical Sno'!$C211&gt;0,'Tropical Sno'!C211,"")))))</f>
        <v/>
      </c>
    </row>
    <row r="212" spans="2:3">
      <c r="B212" s="271" t="str">
        <f ca="1">IF(CELL("type",'Tropical Sno'!$C212)&lt;&gt;"v","",IF('Tropical Sno'!$B212="TOTAL:","",(IF('Tropical Sno'!$B212="CODE","",IF('Tropical Sno'!$C212&gt;0,'Tropical Sno'!B212,"")))))</f>
        <v/>
      </c>
      <c r="C212" s="271" t="str">
        <f ca="1">IF(CELL("type",'Tropical Sno'!$C212)&lt;&gt;"v","",IF('Tropical Sno'!$B212="TOTAL:","",(IF('Tropical Sno'!$B212="CODE","",IF('Tropical Sno'!$C212&gt;0,'Tropical Sno'!C212,"")))))</f>
        <v/>
      </c>
    </row>
    <row r="213" spans="2:3">
      <c r="B213" s="271" t="str">
        <f ca="1">IF(CELL("type",'Tropical Sno'!$C213)&lt;&gt;"v","",IF('Tropical Sno'!$B213="TOTAL:","",(IF('Tropical Sno'!$B213="CODE","",IF('Tropical Sno'!$C213&gt;0,'Tropical Sno'!B213,"")))))</f>
        <v/>
      </c>
      <c r="C213" s="271" t="str">
        <f ca="1">IF(CELL("type",'Tropical Sno'!$C213)&lt;&gt;"v","",IF('Tropical Sno'!$B213="TOTAL:","",(IF('Tropical Sno'!$B213="CODE","",IF('Tropical Sno'!$C213&gt;0,'Tropical Sno'!C213,"")))))</f>
        <v/>
      </c>
    </row>
    <row r="214" spans="2:3">
      <c r="B214" s="271" t="str">
        <f ca="1">IF(CELL("type",'Tropical Sno'!$C214)&lt;&gt;"v","",IF('Tropical Sno'!$B214="TOTAL:","",(IF('Tropical Sno'!$B214="CODE","",IF('Tropical Sno'!$C214&gt;0,'Tropical Sno'!B214,"")))))</f>
        <v/>
      </c>
      <c r="C214" s="271" t="str">
        <f ca="1">IF(CELL("type",'Tropical Sno'!$C214)&lt;&gt;"v","",IF('Tropical Sno'!$B214="TOTAL:","",(IF('Tropical Sno'!$B214="CODE","",IF('Tropical Sno'!$C214&gt;0,'Tropical Sno'!C214,"")))))</f>
        <v/>
      </c>
    </row>
    <row r="215" spans="2:3">
      <c r="B215" s="271" t="str">
        <f ca="1">IF(CELL("type",'Tropical Sno'!$C215)&lt;&gt;"v","",IF('Tropical Sno'!$B215="TOTAL:","",(IF('Tropical Sno'!$B215="CODE","",IF('Tropical Sno'!$C215&gt;0,'Tropical Sno'!B215,"")))))</f>
        <v/>
      </c>
      <c r="C215" s="271" t="str">
        <f ca="1">IF(CELL("type",'Tropical Sno'!$C215)&lt;&gt;"v","",IF('Tropical Sno'!$B215="TOTAL:","",(IF('Tropical Sno'!$B215="CODE","",IF('Tropical Sno'!$C215&gt;0,'Tropical Sno'!C215,"")))))</f>
        <v/>
      </c>
    </row>
    <row r="216" spans="2:3">
      <c r="B216" s="271" t="str">
        <f ca="1">IF(CELL("type",'Tropical Sno'!$C216)&lt;&gt;"v","",IF('Tropical Sno'!$B216="TOTAL:","",(IF('Tropical Sno'!$B216="CODE","",IF('Tropical Sno'!$C216&gt;0,'Tropical Sno'!B216,"")))))</f>
        <v/>
      </c>
      <c r="C216" s="271" t="str">
        <f ca="1">IF(CELL("type",'Tropical Sno'!$C216)&lt;&gt;"v","",IF('Tropical Sno'!$B216="TOTAL:","",(IF('Tropical Sno'!$B216="CODE","",IF('Tropical Sno'!$C216&gt;0,'Tropical Sno'!C216,"")))))</f>
        <v/>
      </c>
    </row>
    <row r="217" spans="2:3">
      <c r="B217" s="271" t="str">
        <f ca="1">IF(CELL("type",'Tropical Sno'!$C217)&lt;&gt;"v","",IF('Tropical Sno'!$B217="TOTAL:","",(IF('Tropical Sno'!$B217="CODE","",IF('Tropical Sno'!$C217&gt;0,'Tropical Sno'!B217,"")))))</f>
        <v/>
      </c>
      <c r="C217" s="271" t="str">
        <f ca="1">IF(CELL("type",'Tropical Sno'!$C217)&lt;&gt;"v","",IF('Tropical Sno'!$B217="TOTAL:","",(IF('Tropical Sno'!$B217="CODE","",IF('Tropical Sno'!$C217&gt;0,'Tropical Sno'!C217,"")))))</f>
        <v/>
      </c>
    </row>
    <row r="218" spans="2:3">
      <c r="B218" s="271" t="str">
        <f ca="1">IF(CELL("type",'Tropical Sno'!$C218)&lt;&gt;"v","",IF('Tropical Sno'!$B218="TOTAL:","",(IF('Tropical Sno'!$B218="CODE","",IF('Tropical Sno'!$C218&gt;0,'Tropical Sno'!B218,"")))))</f>
        <v/>
      </c>
      <c r="C218" s="271" t="str">
        <f ca="1">IF(CELL("type",'Tropical Sno'!$C218)&lt;&gt;"v","",IF('Tropical Sno'!$B218="TOTAL:","",(IF('Tropical Sno'!$B218="CODE","",IF('Tropical Sno'!$C218&gt;0,'Tropical Sno'!C218,"")))))</f>
        <v/>
      </c>
    </row>
    <row r="219" spans="2:3">
      <c r="B219" s="271" t="str">
        <f ca="1">IF(CELL("type",'Tropical Sno'!$C219)&lt;&gt;"v","",IF('Tropical Sno'!$B219="TOTAL:","",(IF('Tropical Sno'!$B219="CODE","",IF('Tropical Sno'!$C219&gt;0,'Tropical Sno'!B219,"")))))</f>
        <v/>
      </c>
      <c r="C219" s="271" t="str">
        <f ca="1">IF(CELL("type",'Tropical Sno'!$C219)&lt;&gt;"v","",IF('Tropical Sno'!$B219="TOTAL:","",(IF('Tropical Sno'!$B219="CODE","",IF('Tropical Sno'!$C219&gt;0,'Tropical Sno'!C219,"")))))</f>
        <v/>
      </c>
    </row>
    <row r="220" spans="2:3">
      <c r="B220" s="271" t="str">
        <f ca="1">IF(CELL("type",'Tropical Sno'!$C220)&lt;&gt;"v","",IF('Tropical Sno'!$B220="TOTAL:","",(IF('Tropical Sno'!$B220="CODE","",IF('Tropical Sno'!$C220&gt;0,'Tropical Sno'!B220,"")))))</f>
        <v/>
      </c>
      <c r="C220" s="271" t="str">
        <f ca="1">IF(CELL("type",'Tropical Sno'!$C220)&lt;&gt;"v","",IF('Tropical Sno'!$B220="TOTAL:","",(IF('Tropical Sno'!$B220="CODE","",IF('Tropical Sno'!$C220&gt;0,'Tropical Sno'!C220,"")))))</f>
        <v/>
      </c>
    </row>
    <row r="221" spans="2:3">
      <c r="B221" s="271" t="str">
        <f ca="1">IF(CELL("type",'Tropical Sno'!$C221)&lt;&gt;"v","",IF('Tropical Sno'!$B221="TOTAL:","",(IF('Tropical Sno'!$B221="CODE","",IF('Tropical Sno'!$C221&gt;0,'Tropical Sno'!B221,"")))))</f>
        <v/>
      </c>
      <c r="C221" s="271" t="str">
        <f ca="1">IF(CELL("type",'Tropical Sno'!$C221)&lt;&gt;"v","",IF('Tropical Sno'!$B221="TOTAL:","",(IF('Tropical Sno'!$B221="CODE","",IF('Tropical Sno'!$C221&gt;0,'Tropical Sno'!C221,"")))))</f>
        <v/>
      </c>
    </row>
    <row r="222" spans="2:3">
      <c r="B222" s="271" t="str">
        <f ca="1">IF(CELL("type",'Tropical Sno'!$C222)&lt;&gt;"v","",IF('Tropical Sno'!$B222="TOTAL:","",(IF('Tropical Sno'!$B222="CODE","",IF('Tropical Sno'!$C222&gt;0,'Tropical Sno'!B222,"")))))</f>
        <v/>
      </c>
      <c r="C222" s="271" t="str">
        <f ca="1">IF(CELL("type",'Tropical Sno'!$C222)&lt;&gt;"v","",IF('Tropical Sno'!$B222="TOTAL:","",(IF('Tropical Sno'!$B222="CODE","",IF('Tropical Sno'!$C222&gt;0,'Tropical Sno'!C222,"")))))</f>
        <v/>
      </c>
    </row>
    <row r="223" spans="2:3">
      <c r="B223" s="271" t="str">
        <f ca="1">IF(CELL("type",'Tropical Sno'!$C223)&lt;&gt;"v","",IF('Tropical Sno'!$B223="TOTAL:","",(IF('Tropical Sno'!$B223="CODE","",IF('Tropical Sno'!$C223&gt;0,'Tropical Sno'!B223,"")))))</f>
        <v/>
      </c>
      <c r="C223" s="271" t="str">
        <f ca="1">IF(CELL("type",'Tropical Sno'!$C223)&lt;&gt;"v","",IF('Tropical Sno'!$B223="TOTAL:","",(IF('Tropical Sno'!$B223="CODE","",IF('Tropical Sno'!$C223&gt;0,'Tropical Sno'!C223,"")))))</f>
        <v/>
      </c>
    </row>
    <row r="224" spans="2:3">
      <c r="B224" s="271" t="str">
        <f ca="1">IF(CELL("type",'Tropical Sno'!$C224)&lt;&gt;"v","",IF('Tropical Sno'!$B224="TOTAL:","",(IF('Tropical Sno'!$B224="CODE","",IF('Tropical Sno'!$C224&gt;0,'Tropical Sno'!B224,"")))))</f>
        <v/>
      </c>
      <c r="C224" s="271" t="str">
        <f ca="1">IF(CELL("type",'Tropical Sno'!$C224)&lt;&gt;"v","",IF('Tropical Sno'!$B224="TOTAL:","",(IF('Tropical Sno'!$B224="CODE","",IF('Tropical Sno'!$C224&gt;0,'Tropical Sno'!C224,"")))))</f>
        <v/>
      </c>
    </row>
    <row r="225" spans="2:3">
      <c r="B225" s="271" t="str">
        <f ca="1">IF(CELL("type",'Tropical Sno'!$C225)&lt;&gt;"v","",IF('Tropical Sno'!$B225="TOTAL:","",(IF('Tropical Sno'!$B225="CODE","",IF('Tropical Sno'!$C225&gt;0,'Tropical Sno'!B225,"")))))</f>
        <v/>
      </c>
      <c r="C225" s="271" t="str">
        <f ca="1">IF(CELL("type",'Tropical Sno'!$C225)&lt;&gt;"v","",IF('Tropical Sno'!$B225="TOTAL:","",(IF('Tropical Sno'!$B225="CODE","",IF('Tropical Sno'!$C225&gt;0,'Tropical Sno'!C225,"")))))</f>
        <v/>
      </c>
    </row>
    <row r="226" spans="2:3">
      <c r="B226" s="271" t="str">
        <f ca="1">IF(CELL("type",'Tropical Sno'!$C226)&lt;&gt;"v","",IF('Tropical Sno'!$B226="TOTAL:","",(IF('Tropical Sno'!$B226="CODE","",IF('Tropical Sno'!$C226&gt;0,'Tropical Sno'!B226,"")))))</f>
        <v/>
      </c>
      <c r="C226" s="271" t="str">
        <f ca="1">IF(CELL("type",'Tropical Sno'!$C226)&lt;&gt;"v","",IF('Tropical Sno'!$B226="TOTAL:","",(IF('Tropical Sno'!$B226="CODE","",IF('Tropical Sno'!$C226&gt;0,'Tropical Sno'!C226,"")))))</f>
        <v/>
      </c>
    </row>
    <row r="227" spans="2:3">
      <c r="B227" s="271" t="str">
        <f ca="1">IF(CELL("type",'Tropical Sno'!$C227)&lt;&gt;"v","",IF('Tropical Sno'!$B227="TOTAL:","",(IF('Tropical Sno'!$B227="CODE","",IF('Tropical Sno'!$C227&gt;0,'Tropical Sno'!B227,"")))))</f>
        <v/>
      </c>
      <c r="C227" s="271" t="str">
        <f ca="1">IF(CELL("type",'Tropical Sno'!$C227)&lt;&gt;"v","",IF('Tropical Sno'!$B227="TOTAL:","",(IF('Tropical Sno'!$B227="CODE","",IF('Tropical Sno'!$C227&gt;0,'Tropical Sno'!C227,"")))))</f>
        <v/>
      </c>
    </row>
    <row r="228" spans="2:3">
      <c r="B228" s="271" t="str">
        <f ca="1">IF(CELL("type",'Tropical Sno'!$C228)&lt;&gt;"v","",IF('Tropical Sno'!$B228="TOTAL:","",(IF('Tropical Sno'!$B228="CODE","",IF('Tropical Sno'!$C228&gt;0,'Tropical Sno'!B228,"")))))</f>
        <v/>
      </c>
      <c r="C228" s="271" t="str">
        <f ca="1">IF(CELL("type",'Tropical Sno'!$C228)&lt;&gt;"v","",IF('Tropical Sno'!$B228="TOTAL:","",(IF('Tropical Sno'!$B228="CODE","",IF('Tropical Sno'!$C228&gt;0,'Tropical Sno'!C228,"")))))</f>
        <v/>
      </c>
    </row>
    <row r="229" spans="2:3">
      <c r="B229" s="271" t="str">
        <f ca="1">IF(CELL("type",'Tropical Sno'!$C229)&lt;&gt;"v","",IF('Tropical Sno'!$B229="TOTAL:","",(IF('Tropical Sno'!$B229="CODE","",IF('Tropical Sno'!$C229&gt;0,'Tropical Sno'!B229,"")))))</f>
        <v/>
      </c>
      <c r="C229" s="271" t="str">
        <f ca="1">IF(CELL("type",'Tropical Sno'!$C229)&lt;&gt;"v","",IF('Tropical Sno'!$B229="TOTAL:","",(IF('Tropical Sno'!$B229="CODE","",IF('Tropical Sno'!$C229&gt;0,'Tropical Sno'!C229,"")))))</f>
        <v/>
      </c>
    </row>
    <row r="230" spans="2:3">
      <c r="B230" s="271" t="str">
        <f ca="1">IF(CELL("type",'Tropical Sno'!$C230)&lt;&gt;"v","",IF('Tropical Sno'!$B230="TOTAL:","",(IF('Tropical Sno'!$B230="CODE","",IF('Tropical Sno'!$C230&gt;0,'Tropical Sno'!B230,"")))))</f>
        <v/>
      </c>
      <c r="C230" s="271" t="str">
        <f ca="1">IF(CELL("type",'Tropical Sno'!$C230)&lt;&gt;"v","",IF('Tropical Sno'!$B230="TOTAL:","",(IF('Tropical Sno'!$B230="CODE","",IF('Tropical Sno'!$C230&gt;0,'Tropical Sno'!C230,"")))))</f>
        <v/>
      </c>
    </row>
    <row r="231" spans="2:3">
      <c r="B231" s="271" t="str">
        <f ca="1">IF(CELL("type",'Tropical Sno'!$C231)&lt;&gt;"v","",IF('Tropical Sno'!$B231="TOTAL:","",(IF('Tropical Sno'!$B231="CODE","",IF('Tropical Sno'!$C231&gt;0,'Tropical Sno'!B231,"")))))</f>
        <v/>
      </c>
      <c r="C231" s="271" t="str">
        <f ca="1">IF(CELL("type",'Tropical Sno'!$C231)&lt;&gt;"v","",IF('Tropical Sno'!$B231="TOTAL:","",(IF('Tropical Sno'!$B231="CODE","",IF('Tropical Sno'!$C231&gt;0,'Tropical Sno'!C231,"")))))</f>
        <v/>
      </c>
    </row>
    <row r="232" spans="2:3">
      <c r="B232" s="271" t="str">
        <f ca="1">IF(CELL("type",'Tropical Sno'!$C232)&lt;&gt;"v","",IF('Tropical Sno'!$B232="TOTAL:","",(IF('Tropical Sno'!$B232="CODE","",IF('Tropical Sno'!$C232&gt;0,'Tropical Sno'!B232,"")))))</f>
        <v/>
      </c>
      <c r="C232" s="271" t="str">
        <f ca="1">IF(CELL("type",'Tropical Sno'!$C232)&lt;&gt;"v","",IF('Tropical Sno'!$B232="TOTAL:","",(IF('Tropical Sno'!$B232="CODE","",IF('Tropical Sno'!$C232&gt;0,'Tropical Sno'!C232,"")))))</f>
        <v/>
      </c>
    </row>
    <row r="233" spans="2:3">
      <c r="B233" s="271" t="str">
        <f ca="1">IF(CELL("type",'Tropical Sno'!$C233)&lt;&gt;"v","",IF('Tropical Sno'!$B233="TOTAL:","",(IF('Tropical Sno'!$B233="CODE","",IF('Tropical Sno'!$C233&gt;0,'Tropical Sno'!B233,"")))))</f>
        <v/>
      </c>
      <c r="C233" s="271" t="str">
        <f ca="1">IF(CELL("type",'Tropical Sno'!$C233)&lt;&gt;"v","",IF('Tropical Sno'!$B233="TOTAL:","",(IF('Tropical Sno'!$B233="CODE","",IF('Tropical Sno'!$C233&gt;0,'Tropical Sno'!C233,"")))))</f>
        <v/>
      </c>
    </row>
    <row r="234" spans="2:3">
      <c r="B234" s="268"/>
      <c r="C234" s="268"/>
    </row>
    <row r="235" spans="2:3">
      <c r="B235" s="277" t="s">
        <v>457</v>
      </c>
      <c r="C235" s="276">
        <f ca="1">SUM(C5:C234)</f>
        <v>0</v>
      </c>
    </row>
  </sheetData>
  <sheetProtection sheet="1" objects="1" scenarios="1" selectLockedCells="1"/>
  <mergeCells count="9">
    <mergeCell ref="H3:I3"/>
    <mergeCell ref="H4:I4"/>
    <mergeCell ref="B2:C2"/>
    <mergeCell ref="E2:F2"/>
    <mergeCell ref="H2:I2"/>
    <mergeCell ref="B4:C4"/>
    <mergeCell ref="E4:F4"/>
    <mergeCell ref="B3:C3"/>
    <mergeCell ref="E3:F3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8">
    <tabColor rgb="FFC00000"/>
  </sheetPr>
  <dimension ref="B1:B46"/>
  <sheetViews>
    <sheetView workbookViewId="0"/>
  </sheetViews>
  <sheetFormatPr defaultRowHeight="12.75"/>
  <cols>
    <col min="2" max="2" width="16" style="64" hidden="1" customWidth="1"/>
  </cols>
  <sheetData>
    <row r="1" spans="2:2">
      <c r="B1" s="65"/>
    </row>
    <row r="2" spans="2:2">
      <c r="B2" s="66" t="s">
        <v>55</v>
      </c>
    </row>
    <row r="3" spans="2:2">
      <c r="B3" s="65" t="s">
        <v>402</v>
      </c>
    </row>
    <row r="4" spans="2:2">
      <c r="B4" s="65" t="s">
        <v>403</v>
      </c>
    </row>
    <row r="5" spans="2:2">
      <c r="B5" s="65" t="s">
        <v>404</v>
      </c>
    </row>
    <row r="6" spans="2:2">
      <c r="B6" s="65" t="s">
        <v>405</v>
      </c>
    </row>
    <row r="7" spans="2:2">
      <c r="B7" s="65"/>
    </row>
    <row r="8" spans="2:2">
      <c r="B8" s="65"/>
    </row>
    <row r="9" spans="2:2">
      <c r="B9" s="66" t="s">
        <v>174</v>
      </c>
    </row>
    <row r="10" spans="2:2">
      <c r="B10" s="65" t="s">
        <v>24</v>
      </c>
    </row>
    <row r="11" spans="2:2">
      <c r="B11" s="65" t="s">
        <v>363</v>
      </c>
    </row>
    <row r="12" spans="2:2">
      <c r="B12" s="65" t="s">
        <v>37</v>
      </c>
    </row>
    <row r="13" spans="2:2">
      <c r="B13" s="65" t="s">
        <v>326</v>
      </c>
    </row>
    <row r="14" spans="2:2">
      <c r="B14" s="65"/>
    </row>
    <row r="15" spans="2:2">
      <c r="B15" s="66" t="s">
        <v>175</v>
      </c>
    </row>
    <row r="16" spans="2:2">
      <c r="B16" s="65" t="s">
        <v>32</v>
      </c>
    </row>
    <row r="17" spans="2:2">
      <c r="B17" s="65" t="s">
        <v>27</v>
      </c>
    </row>
    <row r="18" spans="2:2">
      <c r="B18" s="65" t="s">
        <v>327</v>
      </c>
    </row>
    <row r="19" spans="2:2">
      <c r="B19" s="65" t="s">
        <v>38</v>
      </c>
    </row>
    <row r="20" spans="2:2">
      <c r="B20" s="65"/>
    </row>
    <row r="21" spans="2:2">
      <c r="B21" s="66" t="s">
        <v>179</v>
      </c>
    </row>
    <row r="22" spans="2:2">
      <c r="B22" s="65" t="s">
        <v>177</v>
      </c>
    </row>
    <row r="23" spans="2:2">
      <c r="B23" s="65" t="s">
        <v>26</v>
      </c>
    </row>
    <row r="24" spans="2:2">
      <c r="B24" s="65" t="s">
        <v>22</v>
      </c>
    </row>
    <row r="25" spans="2:2">
      <c r="B25" s="65" t="s">
        <v>21</v>
      </c>
    </row>
    <row r="26" spans="2:2">
      <c r="B26" s="65" t="s">
        <v>28</v>
      </c>
    </row>
    <row r="27" spans="2:2">
      <c r="B27" s="67" t="s">
        <v>39</v>
      </c>
    </row>
    <row r="28" spans="2:2">
      <c r="B28" s="65" t="s">
        <v>40</v>
      </c>
    </row>
    <row r="29" spans="2:2">
      <c r="B29" s="65" t="s">
        <v>332</v>
      </c>
    </row>
    <row r="30" spans="2:2">
      <c r="B30" s="65"/>
    </row>
    <row r="31" spans="2:2">
      <c r="B31" s="66" t="s">
        <v>49</v>
      </c>
    </row>
    <row r="32" spans="2:2">
      <c r="B32" s="65" t="s">
        <v>29</v>
      </c>
    </row>
    <row r="33" spans="2:2">
      <c r="B33" s="65" t="s">
        <v>23</v>
      </c>
    </row>
    <row r="34" spans="2:2">
      <c r="B34" s="65" t="s">
        <v>30</v>
      </c>
    </row>
    <row r="35" spans="2:2">
      <c r="B35" s="65" t="s">
        <v>50</v>
      </c>
    </row>
    <row r="36" spans="2:2">
      <c r="B36" s="65" t="s">
        <v>178</v>
      </c>
    </row>
    <row r="37" spans="2:2">
      <c r="B37" s="65"/>
    </row>
    <row r="38" spans="2:2">
      <c r="B38" s="66" t="s">
        <v>180</v>
      </c>
    </row>
    <row r="39" spans="2:2">
      <c r="B39" s="65" t="s">
        <v>171</v>
      </c>
    </row>
    <row r="40" spans="2:2">
      <c r="B40" s="65" t="s">
        <v>51</v>
      </c>
    </row>
    <row r="41" spans="2:2">
      <c r="B41" s="65" t="s">
        <v>52</v>
      </c>
    </row>
    <row r="42" spans="2:2">
      <c r="B42" s="65"/>
    </row>
    <row r="43" spans="2:2">
      <c r="B43" s="65"/>
    </row>
    <row r="44" spans="2:2">
      <c r="B44" s="65"/>
    </row>
    <row r="45" spans="2:2">
      <c r="B45" s="65"/>
    </row>
    <row r="46" spans="2:2">
      <c r="B46" s="65"/>
    </row>
  </sheetData>
  <sheetProtection sheet="1" objects="1" scenarios="1" selectLockedCells="1"/>
  <phoneticPr fontId="3" type="noConversion"/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Cover</vt:lpstr>
      <vt:lpstr>Tropical Sno</vt:lpstr>
      <vt:lpstr>Swan Parts</vt:lpstr>
      <vt:lpstr>Soft Ice</vt:lpstr>
      <vt:lpstr>SAP</vt:lpstr>
      <vt:lpstr>Data</vt:lpstr>
      <vt:lpstr>Additional</vt:lpstr>
      <vt:lpstr>Credit</vt:lpstr>
      <vt:lpstr>More</vt:lpstr>
      <vt:lpstr>Payment</vt:lpstr>
      <vt:lpstr>Price</vt:lpstr>
      <vt:lpstr>Shipping</vt:lpstr>
    </vt:vector>
  </TitlesOfParts>
  <Company>Pioneer Family Brands,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 Griffiths</dc:creator>
  <cp:lastModifiedBy>Steve</cp:lastModifiedBy>
  <cp:lastPrinted>2016-03-10T16:34:50Z</cp:lastPrinted>
  <dcterms:created xsi:type="dcterms:W3CDTF">2010-02-12T16:27:13Z</dcterms:created>
  <dcterms:modified xsi:type="dcterms:W3CDTF">2018-05-22T21:29:40Z</dcterms:modified>
</cp:coreProperties>
</file>